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0"/>
  <workbookPr defaultThemeVersion="124226"/>
  <mc:AlternateContent xmlns:mc="http://schemas.openxmlformats.org/markup-compatibility/2006">
    <mc:Choice Requires="x15">
      <x15ac:absPath xmlns:x15ac="http://schemas.microsoft.com/office/spreadsheetml/2010/11/ac" url="E:\Datos\4. Proyectos\eXDCi Solutions\434 GUK\2024\Barrendiola\Pliego_Barrendiola_2024_05_08\2024_05_22\"/>
    </mc:Choice>
  </mc:AlternateContent>
  <xr:revisionPtr revIDLastSave="0" documentId="13_ncr:1_{41C6EAC9-B789-4AD4-B939-A2BE6C1737A9}" xr6:coauthVersionLast="47" xr6:coauthVersionMax="47" xr10:uidLastSave="{00000000-0000-0000-0000-000000000000}"/>
  <bookViews>
    <workbookView xWindow="-120" yWindow="-120" windowWidth="29040" windowHeight="16440" xr2:uid="{00000000-000D-0000-FFFF-FFFF00000000}"/>
  </bookViews>
  <sheets>
    <sheet name="PRESUPUESTO" sheetId="3" r:id="rId1"/>
    <sheet name="PRECIOS_REFERENCIAS" sheetId="2" r:id="rId2"/>
  </sheets>
  <definedNames>
    <definedName name="_xlnm._FilterDatabase" localSheetId="0" hidden="1">PRESUPUESTO!$A$3:$I$1366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302" i="3" l="1"/>
  <c r="E101" i="2"/>
  <c r="E102" i="2"/>
  <c r="D102" i="2"/>
  <c r="D101" i="2"/>
  <c r="H1349" i="3" s="1"/>
  <c r="I1349" i="3" s="1"/>
  <c r="E1352" i="3"/>
  <c r="E1351" i="3"/>
  <c r="E1350" i="3"/>
  <c r="E1349" i="3"/>
  <c r="E1348" i="3"/>
  <c r="E1347" i="3"/>
  <c r="E100" i="2"/>
  <c r="D100" i="2" s="1"/>
  <c r="E95" i="2"/>
  <c r="E1356" i="3"/>
  <c r="E1355" i="3"/>
  <c r="E1354" i="3"/>
  <c r="E1353" i="3"/>
  <c r="H1351" i="3"/>
  <c r="I1351" i="3" s="1"/>
  <c r="I1354" i="3" s="1"/>
  <c r="H1347" i="3"/>
  <c r="I1347" i="3" s="1"/>
  <c r="E1346" i="3"/>
  <c r="H1345" i="3"/>
  <c r="I1345" i="3" s="1"/>
  <c r="E1345" i="3"/>
  <c r="E1331" i="3"/>
  <c r="H1330" i="3"/>
  <c r="I1330" i="3" s="1"/>
  <c r="E1330" i="3"/>
  <c r="E1343" i="3"/>
  <c r="E1342" i="3"/>
  <c r="E1341" i="3"/>
  <c r="E1340" i="3"/>
  <c r="E1339" i="3"/>
  <c r="H1338" i="3"/>
  <c r="I1338" i="3" s="1"/>
  <c r="E1338" i="3"/>
  <c r="E1337" i="3"/>
  <c r="H1336" i="3"/>
  <c r="I1336" i="3" s="1"/>
  <c r="I1341" i="3" s="1"/>
  <c r="E1336" i="3"/>
  <c r="E1335" i="3"/>
  <c r="H1334" i="3"/>
  <c r="I1334" i="3" s="1"/>
  <c r="E1334" i="3"/>
  <c r="E1333" i="3"/>
  <c r="H1332" i="3"/>
  <c r="I1332" i="3" s="1"/>
  <c r="E1332" i="3"/>
  <c r="E1324" i="3"/>
  <c r="E1323" i="3"/>
  <c r="E99" i="2"/>
  <c r="D99" i="2" s="1"/>
  <c r="D98" i="2"/>
  <c r="E98" i="2"/>
  <c r="E97" i="2"/>
  <c r="D97" i="2"/>
  <c r="E94" i="2"/>
  <c r="E1328" i="3"/>
  <c r="E1327" i="3"/>
  <c r="E1326" i="3"/>
  <c r="E1325" i="3"/>
  <c r="H1323" i="3"/>
  <c r="I1323" i="3" s="1"/>
  <c r="E1322" i="3"/>
  <c r="E1321" i="3"/>
  <c r="E1320" i="3"/>
  <c r="E1319" i="3"/>
  <c r="E1318" i="3"/>
  <c r="H1317" i="3"/>
  <c r="I1317" i="3" s="1"/>
  <c r="E1317" i="3"/>
  <c r="E96" i="2"/>
  <c r="E1315" i="3"/>
  <c r="E1314" i="3"/>
  <c r="E1313" i="3"/>
  <c r="E1312" i="3"/>
  <c r="D96" i="2"/>
  <c r="E1311" i="3"/>
  <c r="E1310" i="3"/>
  <c r="H1306" i="3"/>
  <c r="I1306" i="3" s="1"/>
  <c r="I1312" i="3" s="1"/>
  <c r="D95" i="2"/>
  <c r="H1321" i="3" s="1"/>
  <c r="I1321" i="3" s="1"/>
  <c r="I1326" i="3" s="1"/>
  <c r="D94" i="2"/>
  <c r="H1308" i="3" s="1"/>
  <c r="I1308" i="3" s="1"/>
  <c r="E93" i="2"/>
  <c r="D93" i="2" s="1"/>
  <c r="E92" i="2"/>
  <c r="D92" i="2" s="1"/>
  <c r="E1309" i="3"/>
  <c r="E1308" i="3"/>
  <c r="E1307" i="3"/>
  <c r="E1306" i="3"/>
  <c r="E89" i="2"/>
  <c r="E90" i="2"/>
  <c r="E91" i="2"/>
  <c r="E1260" i="3"/>
  <c r="E1259" i="3"/>
  <c r="E1258" i="3"/>
  <c r="E1257" i="3"/>
  <c r="I1356" i="3" l="1"/>
  <c r="I1355" i="3"/>
  <c r="I1353" i="3"/>
  <c r="I1343" i="3"/>
  <c r="I1329" i="3" s="1"/>
  <c r="I1340" i="3"/>
  <c r="I1342" i="3"/>
  <c r="I1325" i="3"/>
  <c r="H1319" i="3"/>
  <c r="I1319" i="3" s="1"/>
  <c r="I1327" i="3" s="1"/>
  <c r="H1310" i="3"/>
  <c r="I1310" i="3" s="1"/>
  <c r="I1315" i="3" s="1"/>
  <c r="I1305" i="3" s="1"/>
  <c r="E1270" i="3"/>
  <c r="E1269" i="3"/>
  <c r="E1268" i="3"/>
  <c r="E1266" i="3"/>
  <c r="D91" i="2"/>
  <c r="H1266" i="3" s="1"/>
  <c r="I1266" i="3" s="1"/>
  <c r="D90" i="2"/>
  <c r="H1264" i="3" s="1"/>
  <c r="D89" i="2"/>
  <c r="E1267" i="3"/>
  <c r="E1265" i="3"/>
  <c r="E1264" i="3"/>
  <c r="E1263" i="3"/>
  <c r="H1262" i="3"/>
  <c r="I1262" i="3" s="1"/>
  <c r="E1262" i="3"/>
  <c r="E405" i="3"/>
  <c r="H404" i="3"/>
  <c r="F404" i="3"/>
  <c r="E404" i="3"/>
  <c r="E403" i="3"/>
  <c r="H402" i="3"/>
  <c r="I402" i="3" s="1"/>
  <c r="E402" i="3"/>
  <c r="E412" i="3"/>
  <c r="E410" i="3"/>
  <c r="E1194" i="3"/>
  <c r="E1195" i="3"/>
  <c r="H1194" i="3"/>
  <c r="I1194" i="3" s="1"/>
  <c r="E1192" i="3"/>
  <c r="E1190" i="3"/>
  <c r="E1188" i="3"/>
  <c r="E1186" i="3"/>
  <c r="E1182" i="3"/>
  <c r="E1193" i="3"/>
  <c r="H1192" i="3"/>
  <c r="F1192" i="3"/>
  <c r="E1191" i="3"/>
  <c r="H1190" i="3"/>
  <c r="I1190" i="3" s="1"/>
  <c r="E1189" i="3"/>
  <c r="H1188" i="3"/>
  <c r="F1188" i="3"/>
  <c r="E1187" i="3"/>
  <c r="H1186" i="3"/>
  <c r="I1186" i="3" s="1"/>
  <c r="E1184" i="3"/>
  <c r="E1185" i="3"/>
  <c r="H1184" i="3"/>
  <c r="I1184" i="3" s="1"/>
  <c r="E1183" i="3"/>
  <c r="H1182" i="3"/>
  <c r="I1182" i="3" s="1"/>
  <c r="I1344" i="3" l="1"/>
  <c r="J1355" i="3"/>
  <c r="J1342" i="3"/>
  <c r="J1327" i="3"/>
  <c r="I1328" i="3"/>
  <c r="I1316" i="3" s="1"/>
  <c r="I1314" i="3"/>
  <c r="J1314" i="3" s="1"/>
  <c r="I1268" i="3"/>
  <c r="I1264" i="3"/>
  <c r="I1269" i="3" s="1"/>
  <c r="I404" i="3"/>
  <c r="I1188" i="3"/>
  <c r="I1192" i="3"/>
  <c r="H1277" i="3"/>
  <c r="I1277" i="3" s="1"/>
  <c r="E1277" i="3"/>
  <c r="E1045" i="3"/>
  <c r="H1044" i="3"/>
  <c r="E1044" i="3"/>
  <c r="E1043" i="3"/>
  <c r="H1042" i="3"/>
  <c r="F1042" i="3"/>
  <c r="F1044" i="3" s="1"/>
  <c r="E1042" i="3"/>
  <c r="E978" i="3"/>
  <c r="H977" i="3"/>
  <c r="E977" i="3"/>
  <c r="E976" i="3"/>
  <c r="H975" i="3"/>
  <c r="F975" i="3"/>
  <c r="F977" i="3" s="1"/>
  <c r="E975" i="3"/>
  <c r="E854" i="3"/>
  <c r="H853" i="3"/>
  <c r="E853" i="3"/>
  <c r="E852" i="3"/>
  <c r="H851" i="3"/>
  <c r="F851" i="3"/>
  <c r="F853" i="3" s="1"/>
  <c r="E851" i="3"/>
  <c r="E714" i="3"/>
  <c r="H713" i="3"/>
  <c r="E713" i="3"/>
  <c r="E712" i="3"/>
  <c r="H711" i="3"/>
  <c r="F711" i="3"/>
  <c r="F713" i="3" s="1"/>
  <c r="E711" i="3"/>
  <c r="E588" i="3"/>
  <c r="H587" i="3"/>
  <c r="E587" i="3"/>
  <c r="E586" i="3"/>
  <c r="H585" i="3"/>
  <c r="F585" i="3"/>
  <c r="F587" i="3" s="1"/>
  <c r="E585" i="3"/>
  <c r="E523" i="3"/>
  <c r="H522" i="3"/>
  <c r="E522" i="3"/>
  <c r="E521" i="3"/>
  <c r="H520" i="3"/>
  <c r="F520" i="3"/>
  <c r="F522" i="3" s="1"/>
  <c r="E520" i="3"/>
  <c r="E444" i="3"/>
  <c r="H443" i="3"/>
  <c r="E443" i="3"/>
  <c r="E442" i="3"/>
  <c r="H441" i="3"/>
  <c r="F441" i="3"/>
  <c r="F443" i="3" s="1"/>
  <c r="E441" i="3"/>
  <c r="E314" i="3"/>
  <c r="H313" i="3"/>
  <c r="E313" i="3"/>
  <c r="E312" i="3"/>
  <c r="H311" i="3"/>
  <c r="F311" i="3"/>
  <c r="F313" i="3" s="1"/>
  <c r="E311" i="3"/>
  <c r="F240" i="3"/>
  <c r="F242" i="3" s="1"/>
  <c r="E243" i="3"/>
  <c r="H242" i="3"/>
  <c r="E242" i="3"/>
  <c r="E241" i="3"/>
  <c r="H240" i="3"/>
  <c r="E240" i="3"/>
  <c r="E1057" i="3"/>
  <c r="H1056" i="3"/>
  <c r="I1056" i="3" s="1"/>
  <c r="E1056" i="3"/>
  <c r="E988" i="3"/>
  <c r="H987" i="3"/>
  <c r="I987" i="3" s="1"/>
  <c r="E987" i="3"/>
  <c r="E862" i="3"/>
  <c r="H861" i="3"/>
  <c r="I861" i="3" s="1"/>
  <c r="E861" i="3"/>
  <c r="E722" i="3"/>
  <c r="H721" i="3"/>
  <c r="I721" i="3" s="1"/>
  <c r="E721" i="3"/>
  <c r="E718" i="3"/>
  <c r="H717" i="3"/>
  <c r="I717" i="3" s="1"/>
  <c r="E717" i="3"/>
  <c r="E537" i="3"/>
  <c r="H536" i="3"/>
  <c r="I536" i="3" s="1"/>
  <c r="E536" i="3"/>
  <c r="E458" i="3"/>
  <c r="H457" i="3"/>
  <c r="I457" i="3" s="1"/>
  <c r="E457" i="3"/>
  <c r="E328" i="3"/>
  <c r="H327" i="3"/>
  <c r="I327" i="3" s="1"/>
  <c r="E327" i="3"/>
  <c r="E249" i="3"/>
  <c r="H248" i="3"/>
  <c r="I248" i="3" s="1"/>
  <c r="E248" i="3"/>
  <c r="E185" i="3"/>
  <c r="H185" i="3"/>
  <c r="I185" i="3" s="1"/>
  <c r="E186" i="3"/>
  <c r="E65" i="3"/>
  <c r="H64" i="3"/>
  <c r="F64" i="3"/>
  <c r="E64" i="3"/>
  <c r="E63" i="3"/>
  <c r="H62" i="3"/>
  <c r="I62" i="3" s="1"/>
  <c r="E62" i="3"/>
  <c r="E1288" i="3"/>
  <c r="E1287" i="3"/>
  <c r="E1137" i="3"/>
  <c r="E1136" i="3"/>
  <c r="E1088" i="3"/>
  <c r="E1087" i="3"/>
  <c r="E1019" i="3"/>
  <c r="E1018" i="3"/>
  <c r="E954" i="3"/>
  <c r="E953" i="3"/>
  <c r="E897" i="3"/>
  <c r="E896" i="3"/>
  <c r="E828" i="3"/>
  <c r="E827" i="3"/>
  <c r="E690" i="3"/>
  <c r="E689" i="3"/>
  <c r="E761" i="3"/>
  <c r="E760" i="3"/>
  <c r="E633" i="3"/>
  <c r="E632" i="3"/>
  <c r="E564" i="3"/>
  <c r="E563" i="3"/>
  <c r="E497" i="3"/>
  <c r="E496" i="3"/>
  <c r="E418" i="3"/>
  <c r="E417" i="3"/>
  <c r="E359" i="3"/>
  <c r="E358" i="3"/>
  <c r="E288" i="3"/>
  <c r="E287" i="3"/>
  <c r="E217" i="3"/>
  <c r="E216" i="3"/>
  <c r="E158" i="3"/>
  <c r="E157" i="3"/>
  <c r="E145" i="3"/>
  <c r="H144" i="3"/>
  <c r="F144" i="3"/>
  <c r="E144" i="3"/>
  <c r="E143" i="3"/>
  <c r="H142" i="3"/>
  <c r="F142" i="3"/>
  <c r="E142" i="3"/>
  <c r="E141" i="3"/>
  <c r="H140" i="3"/>
  <c r="I140" i="3" s="1"/>
  <c r="E140" i="3"/>
  <c r="E159" i="3"/>
  <c r="E156" i="3"/>
  <c r="E155" i="3"/>
  <c r="H154" i="3"/>
  <c r="I154" i="3" s="1"/>
  <c r="E154" i="3"/>
  <c r="E153" i="3"/>
  <c r="H152" i="3"/>
  <c r="I152" i="3" s="1"/>
  <c r="E152" i="3"/>
  <c r="E151" i="3"/>
  <c r="H150" i="3"/>
  <c r="I150" i="3" s="1"/>
  <c r="E150" i="3"/>
  <c r="E149" i="3"/>
  <c r="H148" i="3"/>
  <c r="E148" i="3"/>
  <c r="E147" i="3"/>
  <c r="H146" i="3"/>
  <c r="E146" i="3"/>
  <c r="E139" i="3"/>
  <c r="H138" i="3"/>
  <c r="F138" i="3"/>
  <c r="F146" i="3" s="1"/>
  <c r="F148" i="3" s="1"/>
  <c r="E138" i="3"/>
  <c r="E137" i="3"/>
  <c r="H136" i="3"/>
  <c r="F136" i="3"/>
  <c r="E136" i="3"/>
  <c r="E135" i="3"/>
  <c r="H134" i="3"/>
  <c r="I134" i="3" s="1"/>
  <c r="E134" i="3"/>
  <c r="E133" i="3"/>
  <c r="H132" i="3"/>
  <c r="E132" i="3"/>
  <c r="E131" i="3"/>
  <c r="H130" i="3"/>
  <c r="F130" i="3"/>
  <c r="F132" i="3" s="1"/>
  <c r="E130" i="3"/>
  <c r="E129" i="3"/>
  <c r="H128" i="3"/>
  <c r="I128" i="3" s="1"/>
  <c r="E128" i="3"/>
  <c r="E127" i="3"/>
  <c r="H126" i="3"/>
  <c r="I126" i="3" s="1"/>
  <c r="E126" i="3"/>
  <c r="E125" i="3"/>
  <c r="H124" i="3"/>
  <c r="I124" i="3" s="1"/>
  <c r="E124" i="3"/>
  <c r="E123" i="3"/>
  <c r="H122" i="3"/>
  <c r="I122" i="3" s="1"/>
  <c r="E122" i="3"/>
  <c r="E121" i="3"/>
  <c r="H120" i="3"/>
  <c r="I120" i="3" s="1"/>
  <c r="E120" i="3"/>
  <c r="E82" i="3"/>
  <c r="E81" i="3"/>
  <c r="E41" i="3"/>
  <c r="H40" i="3"/>
  <c r="F40" i="3"/>
  <c r="E40" i="3"/>
  <c r="E39" i="3"/>
  <c r="H38" i="3"/>
  <c r="F38" i="3"/>
  <c r="E38" i="3"/>
  <c r="E37" i="3"/>
  <c r="H36" i="3"/>
  <c r="I36" i="3" s="1"/>
  <c r="E36" i="3"/>
  <c r="E35" i="3"/>
  <c r="H34" i="3"/>
  <c r="F34" i="3"/>
  <c r="E34" i="3"/>
  <c r="E33" i="3"/>
  <c r="H32" i="3"/>
  <c r="F32" i="3"/>
  <c r="E32" i="3"/>
  <c r="E31" i="3"/>
  <c r="H30" i="3"/>
  <c r="I30" i="3" s="1"/>
  <c r="E30" i="3"/>
  <c r="E29" i="3"/>
  <c r="H28" i="3"/>
  <c r="F28" i="3"/>
  <c r="E28" i="3"/>
  <c r="E27" i="3"/>
  <c r="H26" i="3"/>
  <c r="F26" i="3"/>
  <c r="E26" i="3"/>
  <c r="E25" i="3"/>
  <c r="H24" i="3"/>
  <c r="I24" i="3" s="1"/>
  <c r="E24" i="3"/>
  <c r="E23" i="3"/>
  <c r="H22" i="3"/>
  <c r="F22" i="3"/>
  <c r="E22" i="3"/>
  <c r="E21" i="3"/>
  <c r="H20" i="3"/>
  <c r="I20" i="3" s="1"/>
  <c r="E20" i="3"/>
  <c r="E19" i="3"/>
  <c r="H18" i="3"/>
  <c r="I18" i="3" s="1"/>
  <c r="E18" i="3"/>
  <c r="E17" i="3"/>
  <c r="H16" i="3"/>
  <c r="I16" i="3" s="1"/>
  <c r="E16" i="3"/>
  <c r="E15" i="3"/>
  <c r="H14" i="3"/>
  <c r="I14" i="3" s="1"/>
  <c r="E14" i="3"/>
  <c r="E13" i="3"/>
  <c r="H12" i="3"/>
  <c r="I12" i="3" s="1"/>
  <c r="E12" i="3"/>
  <c r="E11" i="3"/>
  <c r="H10" i="3"/>
  <c r="I10" i="3" s="1"/>
  <c r="E10" i="3"/>
  <c r="E9" i="3"/>
  <c r="H8" i="3"/>
  <c r="F8" i="3"/>
  <c r="E8" i="3"/>
  <c r="E7" i="3"/>
  <c r="H6" i="3"/>
  <c r="I6" i="3" s="1"/>
  <c r="E6" i="3"/>
  <c r="E1155" i="3"/>
  <c r="H1154" i="3"/>
  <c r="I1154" i="3" s="1"/>
  <c r="E1154" i="3"/>
  <c r="F1225" i="3"/>
  <c r="E1220" i="3"/>
  <c r="H1219" i="3"/>
  <c r="I1219" i="3" s="1"/>
  <c r="E1219" i="3"/>
  <c r="E1222" i="3"/>
  <c r="H1221" i="3"/>
  <c r="I1221" i="3" s="1"/>
  <c r="E1221" i="3"/>
  <c r="E1226" i="3"/>
  <c r="H1225" i="3"/>
  <c r="E1225" i="3"/>
  <c r="E1244" i="3"/>
  <c r="H1243" i="3"/>
  <c r="F1243" i="3"/>
  <c r="E1243" i="3"/>
  <c r="E1238" i="3"/>
  <c r="H1237" i="3"/>
  <c r="E1237" i="3"/>
  <c r="E1232" i="3"/>
  <c r="H1231" i="3"/>
  <c r="F1231" i="3"/>
  <c r="F1237" i="3" s="1"/>
  <c r="E1231" i="3"/>
  <c r="E1161" i="3"/>
  <c r="H1160" i="3"/>
  <c r="F1160" i="3"/>
  <c r="E1160" i="3"/>
  <c r="E1102" i="3"/>
  <c r="H1101" i="3"/>
  <c r="I1101" i="3" s="1"/>
  <c r="E1101" i="3"/>
  <c r="E1033" i="3"/>
  <c r="H1032" i="3"/>
  <c r="I1032" i="3" s="1"/>
  <c r="E1032" i="3"/>
  <c r="E968" i="3"/>
  <c r="H967" i="3"/>
  <c r="I967" i="3" s="1"/>
  <c r="E967" i="3"/>
  <c r="E911" i="3"/>
  <c r="H910" i="3"/>
  <c r="I910" i="3" s="1"/>
  <c r="E910" i="3"/>
  <c r="E842" i="3"/>
  <c r="H841" i="3"/>
  <c r="I841" i="3" s="1"/>
  <c r="E841" i="3"/>
  <c r="E775" i="3"/>
  <c r="H774" i="3"/>
  <c r="I774" i="3" s="1"/>
  <c r="E774" i="3"/>
  <c r="E511" i="3"/>
  <c r="H510" i="3"/>
  <c r="I510" i="3" s="1"/>
  <c r="E510" i="3"/>
  <c r="E432" i="3"/>
  <c r="H431" i="3"/>
  <c r="I431" i="3" s="1"/>
  <c r="E431" i="3"/>
  <c r="E373" i="3"/>
  <c r="H372" i="3"/>
  <c r="I372" i="3" s="1"/>
  <c r="E372" i="3"/>
  <c r="E302" i="3"/>
  <c r="H301" i="3"/>
  <c r="I301" i="3" s="1"/>
  <c r="E301" i="3"/>
  <c r="E231" i="3"/>
  <c r="H230" i="3"/>
  <c r="I230" i="3" s="1"/>
  <c r="E230" i="3"/>
  <c r="E172" i="3"/>
  <c r="H171" i="3"/>
  <c r="I171" i="3" s="1"/>
  <c r="E171" i="3"/>
  <c r="E1081" i="3"/>
  <c r="H1080" i="3"/>
  <c r="I1080" i="3" s="1"/>
  <c r="E1080" i="3"/>
  <c r="E1041" i="3"/>
  <c r="H1040" i="3"/>
  <c r="I1040" i="3" s="1"/>
  <c r="E1040" i="3"/>
  <c r="E1039" i="3"/>
  <c r="H1038" i="3"/>
  <c r="I1038" i="3" s="1"/>
  <c r="E1038" i="3"/>
  <c r="E1012" i="3"/>
  <c r="H1011" i="3"/>
  <c r="I1011" i="3" s="1"/>
  <c r="E1011" i="3"/>
  <c r="E980" i="3"/>
  <c r="H979" i="3"/>
  <c r="I979" i="3" s="1"/>
  <c r="E979" i="3"/>
  <c r="E974" i="3"/>
  <c r="H973" i="3"/>
  <c r="I973" i="3" s="1"/>
  <c r="E973" i="3"/>
  <c r="E890" i="3"/>
  <c r="H889" i="3"/>
  <c r="I889" i="3" s="1"/>
  <c r="E889" i="3"/>
  <c r="E850" i="3"/>
  <c r="H849" i="3"/>
  <c r="I849" i="3" s="1"/>
  <c r="E849" i="3"/>
  <c r="E848" i="3"/>
  <c r="H847" i="3"/>
  <c r="I847" i="3" s="1"/>
  <c r="E847" i="3"/>
  <c r="E754" i="3"/>
  <c r="H753" i="3"/>
  <c r="I753" i="3" s="1"/>
  <c r="E753" i="3"/>
  <c r="E710" i="3"/>
  <c r="H709" i="3"/>
  <c r="I709" i="3" s="1"/>
  <c r="E709" i="3"/>
  <c r="E708" i="3"/>
  <c r="H707" i="3"/>
  <c r="I707" i="3" s="1"/>
  <c r="E707" i="3"/>
  <c r="E626" i="3"/>
  <c r="H625" i="3"/>
  <c r="I625" i="3" s="1"/>
  <c r="E625" i="3"/>
  <c r="E584" i="3"/>
  <c r="H583" i="3"/>
  <c r="I583" i="3" s="1"/>
  <c r="E583" i="3"/>
  <c r="E582" i="3"/>
  <c r="H581" i="3"/>
  <c r="I581" i="3" s="1"/>
  <c r="E581" i="3"/>
  <c r="F530" i="3"/>
  <c r="F526" i="3"/>
  <c r="E557" i="3"/>
  <c r="H556" i="3"/>
  <c r="I556" i="3" s="1"/>
  <c r="E556" i="3"/>
  <c r="E519" i="3"/>
  <c r="H518" i="3"/>
  <c r="I518" i="3" s="1"/>
  <c r="E518" i="3"/>
  <c r="E517" i="3"/>
  <c r="H516" i="3"/>
  <c r="I516" i="3" s="1"/>
  <c r="E516" i="3"/>
  <c r="E490" i="3"/>
  <c r="H489" i="3"/>
  <c r="I489" i="3" s="1"/>
  <c r="E489" i="3"/>
  <c r="E440" i="3"/>
  <c r="H439" i="3"/>
  <c r="I439" i="3" s="1"/>
  <c r="E439" i="3"/>
  <c r="E438" i="3"/>
  <c r="H437" i="3"/>
  <c r="I437" i="3" s="1"/>
  <c r="E437" i="3"/>
  <c r="E310" i="3"/>
  <c r="H309" i="3"/>
  <c r="I309" i="3" s="1"/>
  <c r="E309" i="3"/>
  <c r="E308" i="3"/>
  <c r="H307" i="3"/>
  <c r="I307" i="3" s="1"/>
  <c r="E307" i="3"/>
  <c r="E352" i="3"/>
  <c r="H351" i="3"/>
  <c r="I351" i="3" s="1"/>
  <c r="E351" i="3"/>
  <c r="E281" i="3"/>
  <c r="H280" i="3"/>
  <c r="I280" i="3" s="1"/>
  <c r="E280" i="3"/>
  <c r="E239" i="3"/>
  <c r="H238" i="3"/>
  <c r="I238" i="3" s="1"/>
  <c r="E238" i="3"/>
  <c r="E237" i="3"/>
  <c r="H236" i="3"/>
  <c r="I236" i="3" s="1"/>
  <c r="E236" i="3"/>
  <c r="F325" i="3"/>
  <c r="F321" i="3"/>
  <c r="F317" i="3"/>
  <c r="F380" i="3"/>
  <c r="E244" i="3"/>
  <c r="H244" i="3"/>
  <c r="I244" i="3" s="1"/>
  <c r="E245" i="3"/>
  <c r="E187" i="3"/>
  <c r="H187" i="3"/>
  <c r="I187" i="3" s="1"/>
  <c r="E188" i="3"/>
  <c r="E1073" i="3"/>
  <c r="H1072" i="3"/>
  <c r="F1072" i="3"/>
  <c r="E1072" i="3"/>
  <c r="E1071" i="3"/>
  <c r="H1070" i="3"/>
  <c r="I1070" i="3" s="1"/>
  <c r="E1070" i="3"/>
  <c r="E1004" i="3"/>
  <c r="H1003" i="3"/>
  <c r="F1003" i="3"/>
  <c r="E1003" i="3"/>
  <c r="E1002" i="3"/>
  <c r="H1001" i="3"/>
  <c r="I1001" i="3" s="1"/>
  <c r="E1001" i="3"/>
  <c r="E878" i="3"/>
  <c r="H877" i="3"/>
  <c r="F877" i="3"/>
  <c r="E877" i="3"/>
  <c r="E876" i="3"/>
  <c r="H875" i="3"/>
  <c r="I875" i="3" s="1"/>
  <c r="E875" i="3"/>
  <c r="E746" i="3"/>
  <c r="H745" i="3"/>
  <c r="F745" i="3"/>
  <c r="E745" i="3"/>
  <c r="E744" i="3"/>
  <c r="H743" i="3"/>
  <c r="I743" i="3" s="1"/>
  <c r="E743" i="3"/>
  <c r="E618" i="3"/>
  <c r="H617" i="3"/>
  <c r="F617" i="3"/>
  <c r="E617" i="3"/>
  <c r="E616" i="3"/>
  <c r="H615" i="3"/>
  <c r="I615" i="3" s="1"/>
  <c r="E615" i="3"/>
  <c r="E482" i="3"/>
  <c r="H481" i="3"/>
  <c r="F481" i="3"/>
  <c r="E481" i="3"/>
  <c r="E480" i="3"/>
  <c r="H479" i="3"/>
  <c r="I479" i="3" s="1"/>
  <c r="E479" i="3"/>
  <c r="E273" i="3"/>
  <c r="H272" i="3"/>
  <c r="F272" i="3"/>
  <c r="E272" i="3"/>
  <c r="E271" i="3"/>
  <c r="H270" i="3"/>
  <c r="I270" i="3" s="1"/>
  <c r="E270" i="3"/>
  <c r="I1357" i="3" l="1"/>
  <c r="I1304" i="3" s="1"/>
  <c r="I1271" i="3"/>
  <c r="I1261" i="3" s="1"/>
  <c r="I1044" i="3"/>
  <c r="I975" i="3"/>
  <c r="I522" i="3"/>
  <c r="I1042" i="3"/>
  <c r="I711" i="3"/>
  <c r="I977" i="3"/>
  <c r="I851" i="3"/>
  <c r="I853" i="3"/>
  <c r="I713" i="3"/>
  <c r="I585" i="3"/>
  <c r="I587" i="3"/>
  <c r="I520" i="3"/>
  <c r="I441" i="3"/>
  <c r="I311" i="3"/>
  <c r="I443" i="3"/>
  <c r="I240" i="3"/>
  <c r="I313" i="3"/>
  <c r="I242" i="3"/>
  <c r="I64" i="3"/>
  <c r="I142" i="3"/>
  <c r="I148" i="3"/>
  <c r="I144" i="3"/>
  <c r="I136" i="3"/>
  <c r="I138" i="3"/>
  <c r="I130" i="3"/>
  <c r="I146" i="3"/>
  <c r="I132" i="3"/>
  <c r="I38" i="3"/>
  <c r="I40" i="3"/>
  <c r="I34" i="3"/>
  <c r="I32" i="3"/>
  <c r="I28" i="3"/>
  <c r="I26" i="3"/>
  <c r="I22" i="3"/>
  <c r="I8" i="3"/>
  <c r="I1225" i="3"/>
  <c r="I1243" i="3"/>
  <c r="I1237" i="3"/>
  <c r="I1231" i="3"/>
  <c r="I1160" i="3"/>
  <c r="I1072" i="3"/>
  <c r="I877" i="3"/>
  <c r="I1003" i="3"/>
  <c r="I745" i="3"/>
  <c r="I617" i="3"/>
  <c r="I481" i="3"/>
  <c r="I272" i="3"/>
  <c r="I159" i="3" l="1"/>
  <c r="I119" i="3" s="1"/>
  <c r="I158" i="3"/>
  <c r="I156" i="3"/>
  <c r="I157" i="3"/>
  <c r="F101" i="3"/>
  <c r="E102" i="3"/>
  <c r="H101" i="3"/>
  <c r="E101" i="3"/>
  <c r="F95" i="3"/>
  <c r="E882" i="3"/>
  <c r="H881" i="3"/>
  <c r="F881" i="3"/>
  <c r="E881" i="3"/>
  <c r="E880" i="3"/>
  <c r="H879" i="3"/>
  <c r="I879" i="3" s="1"/>
  <c r="E879" i="3"/>
  <c r="E815" i="3"/>
  <c r="H814" i="3"/>
  <c r="F814" i="3"/>
  <c r="E814" i="3"/>
  <c r="E813" i="3"/>
  <c r="H812" i="3"/>
  <c r="I812" i="3" s="1"/>
  <c r="E812" i="3"/>
  <c r="D64" i="2"/>
  <c r="D86" i="2"/>
  <c r="D87" i="2"/>
  <c r="D88" i="2"/>
  <c r="D84" i="2"/>
  <c r="D85" i="2"/>
  <c r="J158" i="3" l="1"/>
  <c r="I101" i="3"/>
  <c r="I814" i="3"/>
  <c r="I881" i="3"/>
  <c r="E1204" i="3"/>
  <c r="E1203" i="3"/>
  <c r="E1202" i="3"/>
  <c r="E1135" i="3"/>
  <c r="E1086" i="3"/>
  <c r="E1017" i="3"/>
  <c r="E952" i="3"/>
  <c r="E895" i="3"/>
  <c r="E826" i="3"/>
  <c r="E759" i="3"/>
  <c r="E688" i="3"/>
  <c r="E631" i="3"/>
  <c r="E562" i="3"/>
  <c r="E495" i="3"/>
  <c r="E416" i="3"/>
  <c r="E357" i="3"/>
  <c r="E286" i="3"/>
  <c r="E215" i="3"/>
  <c r="E115" i="3"/>
  <c r="E80" i="3"/>
  <c r="E1301" i="3" l="1"/>
  <c r="H1300" i="3"/>
  <c r="I1300" i="3" s="1"/>
  <c r="E1300" i="3"/>
  <c r="E1199" i="3"/>
  <c r="E1198" i="3"/>
  <c r="D78" i="2"/>
  <c r="H1198" i="3" s="1"/>
  <c r="I1198" i="3" s="1"/>
  <c r="E742" i="3"/>
  <c r="H741" i="3"/>
  <c r="F741" i="3"/>
  <c r="E741" i="3"/>
  <c r="E740" i="3"/>
  <c r="H739" i="3"/>
  <c r="I739" i="3" s="1"/>
  <c r="E739" i="3"/>
  <c r="E738" i="3"/>
  <c r="H737" i="3"/>
  <c r="F737" i="3"/>
  <c r="E737" i="3"/>
  <c r="E736" i="3"/>
  <c r="H735" i="3"/>
  <c r="I735" i="3" s="1"/>
  <c r="E735" i="3"/>
  <c r="E614" i="3"/>
  <c r="H613" i="3"/>
  <c r="F613" i="3"/>
  <c r="E613" i="3"/>
  <c r="E612" i="3"/>
  <c r="H611" i="3"/>
  <c r="I611" i="3" s="1"/>
  <c r="E611" i="3"/>
  <c r="E610" i="3"/>
  <c r="H609" i="3"/>
  <c r="F609" i="3"/>
  <c r="E609" i="3"/>
  <c r="E608" i="3"/>
  <c r="H607" i="3"/>
  <c r="I607" i="3" s="1"/>
  <c r="E607" i="3"/>
  <c r="E478" i="3"/>
  <c r="H477" i="3"/>
  <c r="F477" i="3"/>
  <c r="E477" i="3"/>
  <c r="E476" i="3"/>
  <c r="H475" i="3"/>
  <c r="I475" i="3" s="1"/>
  <c r="E475" i="3"/>
  <c r="E474" i="3"/>
  <c r="H473" i="3"/>
  <c r="F473" i="3"/>
  <c r="E473" i="3"/>
  <c r="E472" i="3"/>
  <c r="H471" i="3"/>
  <c r="I471" i="3" s="1"/>
  <c r="E471" i="3"/>
  <c r="E269" i="3"/>
  <c r="H268" i="3"/>
  <c r="F268" i="3"/>
  <c r="E268" i="3"/>
  <c r="E267" i="3"/>
  <c r="H266" i="3"/>
  <c r="I266" i="3" s="1"/>
  <c r="E266" i="3"/>
  <c r="E265" i="3"/>
  <c r="H264" i="3"/>
  <c r="F264" i="3"/>
  <c r="E264" i="3"/>
  <c r="E263" i="3"/>
  <c r="H262" i="3"/>
  <c r="I262" i="3" s="1"/>
  <c r="E262" i="3"/>
  <c r="I737" i="3" l="1"/>
  <c r="I741" i="3"/>
  <c r="I609" i="3"/>
  <c r="I613" i="3"/>
  <c r="I473" i="3"/>
  <c r="I477" i="3"/>
  <c r="I268" i="3"/>
  <c r="I264" i="3"/>
  <c r="E1364" i="3" l="1"/>
  <c r="I1363" i="3"/>
  <c r="I1359" i="3"/>
  <c r="E1299" i="3"/>
  <c r="E1298" i="3"/>
  <c r="E1297" i="3"/>
  <c r="E1296" i="3"/>
  <c r="E1295" i="3"/>
  <c r="E1294" i="3"/>
  <c r="H1298" i="3"/>
  <c r="I1298" i="3" s="1"/>
  <c r="H1296" i="3"/>
  <c r="H1294" i="3"/>
  <c r="E1293" i="3"/>
  <c r="E1292" i="3"/>
  <c r="H1292" i="3"/>
  <c r="I1292" i="3" s="1"/>
  <c r="E1254" i="3"/>
  <c r="H1253" i="3"/>
  <c r="I1253" i="3" s="1"/>
  <c r="E1253" i="3"/>
  <c r="E1256" i="3"/>
  <c r="H1255" i="3"/>
  <c r="I1255" i="3" s="1"/>
  <c r="E1255" i="3"/>
  <c r="E1252" i="3"/>
  <c r="E1251" i="3"/>
  <c r="E1250" i="3"/>
  <c r="H1249" i="3"/>
  <c r="I1249" i="3" s="1"/>
  <c r="E1249" i="3"/>
  <c r="E1248" i="3"/>
  <c r="H1247" i="3"/>
  <c r="I1247" i="3" s="1"/>
  <c r="E1247" i="3"/>
  <c r="E1246" i="3"/>
  <c r="H1245" i="3"/>
  <c r="F1245" i="3"/>
  <c r="E1245" i="3"/>
  <c r="E1240" i="3"/>
  <c r="H1239" i="3"/>
  <c r="F1239" i="3"/>
  <c r="E1239" i="3"/>
  <c r="E1234" i="3"/>
  <c r="H1233" i="3"/>
  <c r="F1233" i="3"/>
  <c r="E1233" i="3"/>
  <c r="E1228" i="3"/>
  <c r="H1227" i="3"/>
  <c r="F1227" i="3"/>
  <c r="E1227" i="3"/>
  <c r="F1209" i="3"/>
  <c r="E1216" i="3"/>
  <c r="H1215" i="3"/>
  <c r="I1215" i="3" s="1"/>
  <c r="E1215" i="3"/>
  <c r="E1236" i="3"/>
  <c r="E1235" i="3"/>
  <c r="E1230" i="3"/>
  <c r="E1229" i="3"/>
  <c r="E1224" i="3"/>
  <c r="E1223" i="3"/>
  <c r="E1218" i="3"/>
  <c r="E1217" i="3"/>
  <c r="E1212" i="3"/>
  <c r="E1211" i="3"/>
  <c r="E1214" i="3"/>
  <c r="H1213" i="3"/>
  <c r="I1213" i="3" s="1"/>
  <c r="E1213" i="3"/>
  <c r="E1210" i="3"/>
  <c r="H1209" i="3"/>
  <c r="E1209" i="3"/>
  <c r="E1208" i="3"/>
  <c r="H1207" i="3"/>
  <c r="I1207" i="3" s="1"/>
  <c r="E1207" i="3"/>
  <c r="D80" i="2"/>
  <c r="H1200" i="3" s="1"/>
  <c r="I1200" i="3" s="1"/>
  <c r="D77" i="2"/>
  <c r="H1196" i="3" s="1"/>
  <c r="I1196" i="3" s="1"/>
  <c r="D76" i="2"/>
  <c r="H1180" i="3" s="1"/>
  <c r="I1180" i="3" s="1"/>
  <c r="E1201" i="3"/>
  <c r="E1200" i="3"/>
  <c r="E1197" i="3"/>
  <c r="E1196" i="3"/>
  <c r="E1181" i="3"/>
  <c r="E1180" i="3"/>
  <c r="E1179" i="3"/>
  <c r="H1178" i="3"/>
  <c r="I1178" i="3" s="1"/>
  <c r="E1178" i="3"/>
  <c r="E1177" i="3"/>
  <c r="H1176" i="3"/>
  <c r="I1176" i="3" s="1"/>
  <c r="E1176" i="3"/>
  <c r="E1173" i="3"/>
  <c r="H1172" i="3"/>
  <c r="F1172" i="3"/>
  <c r="E1172" i="3"/>
  <c r="E1169" i="3"/>
  <c r="H1168" i="3"/>
  <c r="F1168" i="3"/>
  <c r="E1168" i="3"/>
  <c r="E1165" i="3"/>
  <c r="H1164" i="3"/>
  <c r="F1164" i="3"/>
  <c r="E1164" i="3"/>
  <c r="E1159" i="3"/>
  <c r="H1158" i="3"/>
  <c r="F1158" i="3"/>
  <c r="E1158" i="3"/>
  <c r="E1149" i="3"/>
  <c r="E1148" i="3"/>
  <c r="E1147" i="3"/>
  <c r="E1146" i="3"/>
  <c r="E1145" i="3"/>
  <c r="E1144" i="3"/>
  <c r="E1143" i="3"/>
  <c r="E1142" i="3"/>
  <c r="H1144" i="3"/>
  <c r="I1144" i="3" s="1"/>
  <c r="H1142" i="3"/>
  <c r="I1142" i="3" s="1"/>
  <c r="E1286" i="3"/>
  <c r="H1285" i="3"/>
  <c r="F1285" i="3"/>
  <c r="E1285" i="3"/>
  <c r="E1282" i="3"/>
  <c r="H1281" i="3"/>
  <c r="F1281" i="3"/>
  <c r="E1281" i="3"/>
  <c r="H1241" i="3"/>
  <c r="I1241" i="3" s="1"/>
  <c r="H1235" i="3"/>
  <c r="I1235" i="3" s="1"/>
  <c r="H1229" i="3"/>
  <c r="I1229" i="3" s="1"/>
  <c r="H1223" i="3"/>
  <c r="I1223" i="3" s="1"/>
  <c r="H1217" i="3"/>
  <c r="I1217" i="3" s="1"/>
  <c r="H1211" i="3"/>
  <c r="I1211" i="3" s="1"/>
  <c r="E1242" i="3"/>
  <c r="E1241" i="3"/>
  <c r="H1174" i="3"/>
  <c r="I1174" i="3" s="1"/>
  <c r="H1170" i="3"/>
  <c r="I1170" i="3" s="1"/>
  <c r="H1166" i="3"/>
  <c r="I1166" i="3" s="1"/>
  <c r="H1162" i="3"/>
  <c r="I1162" i="3" s="1"/>
  <c r="H1156" i="3"/>
  <c r="I1156" i="3" s="1"/>
  <c r="H1152" i="3"/>
  <c r="I1152" i="3" s="1"/>
  <c r="H1150" i="3"/>
  <c r="I1150" i="3" s="1"/>
  <c r="H1148" i="3"/>
  <c r="I1148" i="3" s="1"/>
  <c r="H1146" i="3"/>
  <c r="I1146" i="3" s="1"/>
  <c r="E1175" i="3"/>
  <c r="E1174" i="3"/>
  <c r="E1171" i="3"/>
  <c r="E1170" i="3"/>
  <c r="E1167" i="3"/>
  <c r="E1166" i="3"/>
  <c r="E1163" i="3"/>
  <c r="E1162" i="3"/>
  <c r="E1157" i="3"/>
  <c r="E1156" i="3"/>
  <c r="E1153" i="3"/>
  <c r="E1152" i="3"/>
  <c r="E1151" i="3"/>
  <c r="E1150" i="3"/>
  <c r="E1106" i="3"/>
  <c r="H1105" i="3"/>
  <c r="I1105" i="3" s="1"/>
  <c r="E1105" i="3"/>
  <c r="E1104" i="3"/>
  <c r="H1103" i="3"/>
  <c r="I1103" i="3" s="1"/>
  <c r="E1103" i="3"/>
  <c r="E1037" i="3"/>
  <c r="H1036" i="3"/>
  <c r="I1036" i="3" s="1"/>
  <c r="E1036" i="3"/>
  <c r="E1035" i="3"/>
  <c r="H1034" i="3"/>
  <c r="I1034" i="3" s="1"/>
  <c r="E1034" i="3"/>
  <c r="E972" i="3"/>
  <c r="H971" i="3"/>
  <c r="I971" i="3" s="1"/>
  <c r="E971" i="3"/>
  <c r="E970" i="3"/>
  <c r="H969" i="3"/>
  <c r="I969" i="3" s="1"/>
  <c r="E969" i="3"/>
  <c r="E915" i="3"/>
  <c r="H914" i="3"/>
  <c r="I914" i="3" s="1"/>
  <c r="E914" i="3"/>
  <c r="E913" i="3"/>
  <c r="H912" i="3"/>
  <c r="I912" i="3" s="1"/>
  <c r="E912" i="3"/>
  <c r="E846" i="3"/>
  <c r="H845" i="3"/>
  <c r="I845" i="3" s="1"/>
  <c r="E845" i="3"/>
  <c r="E844" i="3"/>
  <c r="H843" i="3"/>
  <c r="I843" i="3" s="1"/>
  <c r="E843" i="3"/>
  <c r="E779" i="3"/>
  <c r="H778" i="3"/>
  <c r="I778" i="3" s="1"/>
  <c r="E778" i="3"/>
  <c r="E777" i="3"/>
  <c r="H776" i="3"/>
  <c r="I776" i="3" s="1"/>
  <c r="E776" i="3"/>
  <c r="E706" i="3"/>
  <c r="H705" i="3"/>
  <c r="I705" i="3" s="1"/>
  <c r="E705" i="3"/>
  <c r="E704" i="3"/>
  <c r="H703" i="3"/>
  <c r="I703" i="3" s="1"/>
  <c r="E703" i="3"/>
  <c r="E649" i="3"/>
  <c r="H648" i="3"/>
  <c r="I648" i="3" s="1"/>
  <c r="E648" i="3"/>
  <c r="E647" i="3"/>
  <c r="H646" i="3"/>
  <c r="I646" i="3" s="1"/>
  <c r="E646" i="3"/>
  <c r="E580" i="3"/>
  <c r="H579" i="3"/>
  <c r="I579" i="3" s="1"/>
  <c r="E579" i="3"/>
  <c r="E578" i="3"/>
  <c r="H577" i="3"/>
  <c r="I577" i="3" s="1"/>
  <c r="E577" i="3"/>
  <c r="E515" i="3"/>
  <c r="H514" i="3"/>
  <c r="I514" i="3" s="1"/>
  <c r="E514" i="3"/>
  <c r="E513" i="3"/>
  <c r="H512" i="3"/>
  <c r="I512" i="3" s="1"/>
  <c r="E512" i="3"/>
  <c r="E436" i="3"/>
  <c r="H435" i="3"/>
  <c r="I435" i="3" s="1"/>
  <c r="E435" i="3"/>
  <c r="E434" i="3"/>
  <c r="H433" i="3"/>
  <c r="I433" i="3" s="1"/>
  <c r="E433" i="3"/>
  <c r="E377" i="3"/>
  <c r="H376" i="3"/>
  <c r="I376" i="3" s="1"/>
  <c r="E376" i="3"/>
  <c r="E375" i="3"/>
  <c r="H374" i="3"/>
  <c r="I374" i="3" s="1"/>
  <c r="E374" i="3"/>
  <c r="E306" i="3"/>
  <c r="H305" i="3"/>
  <c r="I305" i="3" s="1"/>
  <c r="E305" i="3"/>
  <c r="E304" i="3"/>
  <c r="H303" i="3"/>
  <c r="I303" i="3" s="1"/>
  <c r="E303" i="3"/>
  <c r="E235" i="3"/>
  <c r="H234" i="3"/>
  <c r="I234" i="3" s="1"/>
  <c r="E234" i="3"/>
  <c r="E233" i="3"/>
  <c r="H232" i="3"/>
  <c r="I232" i="3" s="1"/>
  <c r="E232" i="3"/>
  <c r="E176" i="3"/>
  <c r="H175" i="3"/>
  <c r="I175" i="3" s="1"/>
  <c r="E175" i="3"/>
  <c r="E174" i="3"/>
  <c r="H173" i="3"/>
  <c r="I173" i="3" s="1"/>
  <c r="E173" i="3"/>
  <c r="H78" i="3"/>
  <c r="H76" i="3"/>
  <c r="H74" i="3"/>
  <c r="H72" i="3"/>
  <c r="H70" i="3"/>
  <c r="H68" i="3"/>
  <c r="H66" i="3"/>
  <c r="H60" i="3"/>
  <c r="H58" i="3"/>
  <c r="H56" i="3"/>
  <c r="H54" i="3"/>
  <c r="H52" i="3"/>
  <c r="H50" i="3"/>
  <c r="H48" i="3"/>
  <c r="H46" i="3"/>
  <c r="H44" i="3"/>
  <c r="H42" i="3"/>
  <c r="E79" i="3"/>
  <c r="E78" i="3"/>
  <c r="E77" i="3"/>
  <c r="E76" i="3"/>
  <c r="E75" i="3"/>
  <c r="E74" i="3"/>
  <c r="E73" i="3"/>
  <c r="E72" i="3"/>
  <c r="E71" i="3"/>
  <c r="E70" i="3"/>
  <c r="E69" i="3"/>
  <c r="E68" i="3"/>
  <c r="E67" i="3"/>
  <c r="E66" i="3"/>
  <c r="E61" i="3"/>
  <c r="E60" i="3"/>
  <c r="E59" i="3"/>
  <c r="E58" i="3"/>
  <c r="E57" i="3"/>
  <c r="E56" i="3"/>
  <c r="E55" i="3"/>
  <c r="E54" i="3"/>
  <c r="E53" i="3"/>
  <c r="E52" i="3"/>
  <c r="E51" i="3"/>
  <c r="E50" i="3"/>
  <c r="E49" i="3"/>
  <c r="E48" i="3"/>
  <c r="E47" i="3"/>
  <c r="E46" i="3"/>
  <c r="E45" i="3"/>
  <c r="E44" i="3"/>
  <c r="E43" i="3"/>
  <c r="E42" i="3"/>
  <c r="I1202" i="3" l="1"/>
  <c r="I1204" i="3"/>
  <c r="I1257" i="3"/>
  <c r="I1365" i="3"/>
  <c r="I1361" i="3"/>
  <c r="J1361" i="3" s="1"/>
  <c r="I1296" i="3"/>
  <c r="I1294" i="3"/>
  <c r="H1251" i="3"/>
  <c r="I1251" i="3" s="1"/>
  <c r="I1245" i="3"/>
  <c r="I1233" i="3"/>
  <c r="I1239" i="3"/>
  <c r="I1227" i="3"/>
  <c r="I1209" i="3"/>
  <c r="I1172" i="3"/>
  <c r="I1168" i="3"/>
  <c r="I1164" i="3"/>
  <c r="I1158" i="3"/>
  <c r="I1285" i="3"/>
  <c r="I1281" i="3"/>
  <c r="I1362" i="3" l="1"/>
  <c r="J1365" i="3"/>
  <c r="I1205" i="3"/>
  <c r="I1203" i="3"/>
  <c r="I1259" i="3"/>
  <c r="I1258" i="3"/>
  <c r="I1260" i="3"/>
  <c r="I1206" i="3" s="1"/>
  <c r="I1303" i="3"/>
  <c r="I1358" i="3"/>
  <c r="I1291" i="3" l="1"/>
  <c r="I1302" i="3"/>
  <c r="J1302" i="3" s="1"/>
  <c r="J1259" i="3"/>
  <c r="I1272" i="3"/>
  <c r="J1204" i="3"/>
  <c r="J1270" i="3"/>
  <c r="H1283" i="3"/>
  <c r="I1283" i="3" s="1"/>
  <c r="H1279" i="3"/>
  <c r="H1275" i="3"/>
  <c r="E1284" i="3"/>
  <c r="E1283" i="3"/>
  <c r="E1280" i="3"/>
  <c r="E1279" i="3"/>
  <c r="E1275" i="3"/>
  <c r="E1124" i="3" l="1"/>
  <c r="H1123" i="3"/>
  <c r="F1123" i="3"/>
  <c r="E1123" i="3"/>
  <c r="E1120" i="3"/>
  <c r="H1119" i="3"/>
  <c r="F1119" i="3"/>
  <c r="E1119" i="3"/>
  <c r="E1116" i="3"/>
  <c r="H1115" i="3"/>
  <c r="F1115" i="3"/>
  <c r="E1115" i="3"/>
  <c r="E1112" i="3"/>
  <c r="H1111" i="3"/>
  <c r="E1111" i="3"/>
  <c r="E1110" i="3"/>
  <c r="H1109" i="3"/>
  <c r="E1109" i="3"/>
  <c r="E1108" i="3"/>
  <c r="H1107" i="3"/>
  <c r="E1107" i="3"/>
  <c r="E1098" i="3"/>
  <c r="H1097" i="3"/>
  <c r="I1097" i="3" s="1"/>
  <c r="E1097" i="3"/>
  <c r="E1069" i="3"/>
  <c r="H1068" i="3"/>
  <c r="F1068" i="3"/>
  <c r="E1068" i="3"/>
  <c r="E1065" i="3"/>
  <c r="H1064" i="3"/>
  <c r="F1064" i="3"/>
  <c r="E1064" i="3"/>
  <c r="E1061" i="3"/>
  <c r="H1060" i="3"/>
  <c r="F1060" i="3"/>
  <c r="E1060" i="3"/>
  <c r="E1055" i="3"/>
  <c r="H1054" i="3"/>
  <c r="E1054" i="3"/>
  <c r="E1051" i="3"/>
  <c r="H1050" i="3"/>
  <c r="E1050" i="3"/>
  <c r="E1049" i="3"/>
  <c r="H1048" i="3"/>
  <c r="E1048" i="3"/>
  <c r="E1029" i="3"/>
  <c r="H1028" i="3"/>
  <c r="I1028" i="3" s="1"/>
  <c r="E1028" i="3"/>
  <c r="E1000" i="3"/>
  <c r="H999" i="3"/>
  <c r="F999" i="3"/>
  <c r="E999" i="3"/>
  <c r="E996" i="3"/>
  <c r="H995" i="3"/>
  <c r="F995" i="3"/>
  <c r="E995" i="3"/>
  <c r="E992" i="3"/>
  <c r="H991" i="3"/>
  <c r="F991" i="3"/>
  <c r="E991" i="3"/>
  <c r="E986" i="3"/>
  <c r="H985" i="3"/>
  <c r="E985" i="3"/>
  <c r="E982" i="3"/>
  <c r="H981" i="3"/>
  <c r="E981" i="3"/>
  <c r="E964" i="3"/>
  <c r="H963" i="3"/>
  <c r="I963" i="3" s="1"/>
  <c r="E963" i="3"/>
  <c r="E941" i="3"/>
  <c r="H940" i="3"/>
  <c r="F940" i="3"/>
  <c r="E940" i="3"/>
  <c r="E937" i="3"/>
  <c r="H936" i="3"/>
  <c r="F936" i="3"/>
  <c r="E936" i="3"/>
  <c r="E933" i="3"/>
  <c r="H932" i="3"/>
  <c r="F932" i="3"/>
  <c r="E932" i="3"/>
  <c r="E929" i="3"/>
  <c r="H928" i="3"/>
  <c r="F928" i="3"/>
  <c r="E928" i="3"/>
  <c r="E925" i="3"/>
  <c r="H924" i="3"/>
  <c r="E924" i="3"/>
  <c r="E921" i="3"/>
  <c r="H920" i="3"/>
  <c r="E920" i="3"/>
  <c r="E919" i="3"/>
  <c r="H918" i="3"/>
  <c r="E918" i="3"/>
  <c r="E907" i="3"/>
  <c r="H906" i="3"/>
  <c r="I906" i="3" s="1"/>
  <c r="E906" i="3"/>
  <c r="I871" i="3"/>
  <c r="E874" i="3"/>
  <c r="H873" i="3"/>
  <c r="F873" i="3"/>
  <c r="E873" i="3"/>
  <c r="E870" i="3"/>
  <c r="H869" i="3"/>
  <c r="F869" i="3"/>
  <c r="E869" i="3"/>
  <c r="E866" i="3"/>
  <c r="H865" i="3"/>
  <c r="F865" i="3"/>
  <c r="E865" i="3"/>
  <c r="E860" i="3"/>
  <c r="H859" i="3"/>
  <c r="E859" i="3"/>
  <c r="E856" i="3"/>
  <c r="H855" i="3"/>
  <c r="E855" i="3"/>
  <c r="E838" i="3"/>
  <c r="H837" i="3"/>
  <c r="I837" i="3" s="1"/>
  <c r="E837" i="3"/>
  <c r="E811" i="3"/>
  <c r="H810" i="3"/>
  <c r="F810" i="3"/>
  <c r="E810" i="3"/>
  <c r="E807" i="3"/>
  <c r="H806" i="3"/>
  <c r="F806" i="3"/>
  <c r="E806" i="3"/>
  <c r="E803" i="3"/>
  <c r="H802" i="3"/>
  <c r="F802" i="3"/>
  <c r="E802" i="3"/>
  <c r="E799" i="3"/>
  <c r="H798" i="3"/>
  <c r="F798" i="3"/>
  <c r="E798" i="3"/>
  <c r="E795" i="3"/>
  <c r="H794" i="3"/>
  <c r="F794" i="3"/>
  <c r="E794" i="3"/>
  <c r="E791" i="3"/>
  <c r="H790" i="3"/>
  <c r="E790" i="3"/>
  <c r="E787" i="3"/>
  <c r="H786" i="3"/>
  <c r="E786" i="3"/>
  <c r="E783" i="3"/>
  <c r="H782" i="3"/>
  <c r="E782" i="3"/>
  <c r="E771" i="3"/>
  <c r="H770" i="3"/>
  <c r="I770" i="3" s="1"/>
  <c r="E770" i="3"/>
  <c r="E734" i="3"/>
  <c r="H733" i="3"/>
  <c r="F733" i="3"/>
  <c r="E733" i="3"/>
  <c r="E730" i="3"/>
  <c r="H729" i="3"/>
  <c r="F729" i="3"/>
  <c r="E729" i="3"/>
  <c r="E726" i="3"/>
  <c r="H725" i="3"/>
  <c r="F725" i="3"/>
  <c r="E725" i="3"/>
  <c r="E720" i="3"/>
  <c r="H719" i="3"/>
  <c r="E719" i="3"/>
  <c r="E716" i="3"/>
  <c r="H715" i="3"/>
  <c r="E715" i="3"/>
  <c r="E700" i="3"/>
  <c r="H699" i="3"/>
  <c r="I699" i="3" s="1"/>
  <c r="E699" i="3"/>
  <c r="E677" i="3"/>
  <c r="H676" i="3"/>
  <c r="F676" i="3"/>
  <c r="E676" i="3"/>
  <c r="E673" i="3"/>
  <c r="H672" i="3"/>
  <c r="F672" i="3"/>
  <c r="E672" i="3"/>
  <c r="E669" i="3"/>
  <c r="H668" i="3"/>
  <c r="F668" i="3"/>
  <c r="E668" i="3"/>
  <c r="E665" i="3"/>
  <c r="H664" i="3"/>
  <c r="F664" i="3"/>
  <c r="E664" i="3"/>
  <c r="E661" i="3"/>
  <c r="H660" i="3"/>
  <c r="E660" i="3"/>
  <c r="E657" i="3"/>
  <c r="H656" i="3"/>
  <c r="E656" i="3"/>
  <c r="E653" i="3"/>
  <c r="H652" i="3"/>
  <c r="E652" i="3"/>
  <c r="E643" i="3"/>
  <c r="H642" i="3"/>
  <c r="I642" i="3" s="1"/>
  <c r="E642" i="3"/>
  <c r="E606" i="3"/>
  <c r="H605" i="3"/>
  <c r="F605" i="3"/>
  <c r="E605" i="3"/>
  <c r="E602" i="3"/>
  <c r="H601" i="3"/>
  <c r="F601" i="3"/>
  <c r="E601" i="3"/>
  <c r="E598" i="3"/>
  <c r="H597" i="3"/>
  <c r="F597" i="3"/>
  <c r="E597" i="3"/>
  <c r="E594" i="3"/>
  <c r="H593" i="3"/>
  <c r="E593" i="3"/>
  <c r="E590" i="3"/>
  <c r="H589" i="3"/>
  <c r="E589" i="3"/>
  <c r="E574" i="3"/>
  <c r="H573" i="3"/>
  <c r="I573" i="3" s="1"/>
  <c r="E573" i="3"/>
  <c r="E549" i="3"/>
  <c r="H548" i="3"/>
  <c r="F548" i="3"/>
  <c r="E548" i="3"/>
  <c r="E545" i="3"/>
  <c r="H544" i="3"/>
  <c r="F544" i="3"/>
  <c r="E544" i="3"/>
  <c r="E541" i="3"/>
  <c r="H540" i="3"/>
  <c r="F540" i="3"/>
  <c r="E540" i="3"/>
  <c r="E535" i="3"/>
  <c r="H534" i="3"/>
  <c r="E534" i="3"/>
  <c r="E531" i="3"/>
  <c r="H530" i="3"/>
  <c r="E530" i="3"/>
  <c r="E527" i="3"/>
  <c r="H526" i="3"/>
  <c r="E526" i="3"/>
  <c r="E507" i="3"/>
  <c r="H506" i="3"/>
  <c r="I506" i="3" s="1"/>
  <c r="E506" i="3"/>
  <c r="E470" i="3"/>
  <c r="H469" i="3"/>
  <c r="F469" i="3"/>
  <c r="E469" i="3"/>
  <c r="E466" i="3"/>
  <c r="H465" i="3"/>
  <c r="F465" i="3"/>
  <c r="E465" i="3"/>
  <c r="E462" i="3"/>
  <c r="H461" i="3"/>
  <c r="F461" i="3"/>
  <c r="E461" i="3"/>
  <c r="E456" i="3"/>
  <c r="H455" i="3"/>
  <c r="E455" i="3"/>
  <c r="E452" i="3"/>
  <c r="H451" i="3"/>
  <c r="E451" i="3"/>
  <c r="E448" i="3"/>
  <c r="H447" i="3"/>
  <c r="E447" i="3"/>
  <c r="E428" i="3"/>
  <c r="H427" i="3"/>
  <c r="I427" i="3" s="1"/>
  <c r="E427" i="3"/>
  <c r="F400" i="3"/>
  <c r="F388" i="3"/>
  <c r="E401" i="3"/>
  <c r="H400" i="3"/>
  <c r="E400" i="3"/>
  <c r="E397" i="3"/>
  <c r="H396" i="3"/>
  <c r="I396" i="3" s="1"/>
  <c r="E396" i="3"/>
  <c r="E393" i="3"/>
  <c r="H392" i="3"/>
  <c r="I392" i="3" s="1"/>
  <c r="E392" i="3"/>
  <c r="E389" i="3"/>
  <c r="H388" i="3"/>
  <c r="E388" i="3"/>
  <c r="E385" i="3"/>
  <c r="H384" i="3"/>
  <c r="E384" i="3"/>
  <c r="E383" i="3"/>
  <c r="H382" i="3"/>
  <c r="E382" i="3"/>
  <c r="E381" i="3"/>
  <c r="H380" i="3"/>
  <c r="E380" i="3"/>
  <c r="E369" i="3"/>
  <c r="H368" i="3"/>
  <c r="I368" i="3" s="1"/>
  <c r="E368" i="3"/>
  <c r="E1094" i="3"/>
  <c r="H1093" i="3"/>
  <c r="I1093" i="3" s="1"/>
  <c r="E1093" i="3"/>
  <c r="E1092" i="3"/>
  <c r="H1091" i="3"/>
  <c r="I1091" i="3" s="1"/>
  <c r="E1091" i="3"/>
  <c r="E1025" i="3"/>
  <c r="H1024" i="3"/>
  <c r="I1024" i="3" s="1"/>
  <c r="E1024" i="3"/>
  <c r="E1023" i="3"/>
  <c r="H1022" i="3"/>
  <c r="I1022" i="3" s="1"/>
  <c r="E1022" i="3"/>
  <c r="E960" i="3"/>
  <c r="H959" i="3"/>
  <c r="I959" i="3" s="1"/>
  <c r="E959" i="3"/>
  <c r="E958" i="3"/>
  <c r="H957" i="3"/>
  <c r="I957" i="3" s="1"/>
  <c r="E957" i="3"/>
  <c r="E903" i="3"/>
  <c r="H902" i="3"/>
  <c r="I902" i="3" s="1"/>
  <c r="E902" i="3"/>
  <c r="E901" i="3"/>
  <c r="H900" i="3"/>
  <c r="I900" i="3" s="1"/>
  <c r="E900" i="3"/>
  <c r="E834" i="3"/>
  <c r="H833" i="3"/>
  <c r="I833" i="3" s="1"/>
  <c r="E833" i="3"/>
  <c r="E832" i="3"/>
  <c r="H831" i="3"/>
  <c r="I831" i="3" s="1"/>
  <c r="E831" i="3"/>
  <c r="E767" i="3"/>
  <c r="H766" i="3"/>
  <c r="I766" i="3" s="1"/>
  <c r="E766" i="3"/>
  <c r="E765" i="3"/>
  <c r="H764" i="3"/>
  <c r="I764" i="3" s="1"/>
  <c r="E764" i="3"/>
  <c r="E696" i="3"/>
  <c r="H695" i="3"/>
  <c r="I695" i="3" s="1"/>
  <c r="E695" i="3"/>
  <c r="E694" i="3"/>
  <c r="H693" i="3"/>
  <c r="I693" i="3" s="1"/>
  <c r="E693" i="3"/>
  <c r="E639" i="3"/>
  <c r="H638" i="3"/>
  <c r="I638" i="3" s="1"/>
  <c r="E638" i="3"/>
  <c r="E637" i="3"/>
  <c r="H636" i="3"/>
  <c r="I636" i="3" s="1"/>
  <c r="E636" i="3"/>
  <c r="E570" i="3"/>
  <c r="H569" i="3"/>
  <c r="I569" i="3" s="1"/>
  <c r="E569" i="3"/>
  <c r="E568" i="3"/>
  <c r="H567" i="3"/>
  <c r="I567" i="3" s="1"/>
  <c r="E567" i="3"/>
  <c r="E503" i="3"/>
  <c r="H502" i="3"/>
  <c r="I502" i="3" s="1"/>
  <c r="E502" i="3"/>
  <c r="E501" i="3"/>
  <c r="H500" i="3"/>
  <c r="I500" i="3" s="1"/>
  <c r="E500" i="3"/>
  <c r="E424" i="3"/>
  <c r="H423" i="3"/>
  <c r="I423" i="3" s="1"/>
  <c r="E423" i="3"/>
  <c r="E422" i="3"/>
  <c r="H421" i="3"/>
  <c r="I421" i="3" s="1"/>
  <c r="E421" i="3"/>
  <c r="E365" i="3"/>
  <c r="H364" i="3"/>
  <c r="I364" i="3" s="1"/>
  <c r="E364" i="3"/>
  <c r="E363" i="3"/>
  <c r="H362" i="3"/>
  <c r="I362" i="3" s="1"/>
  <c r="E362" i="3"/>
  <c r="E1134" i="3"/>
  <c r="H1133" i="3"/>
  <c r="I1133" i="3" s="1"/>
  <c r="E1133" i="3"/>
  <c r="E1132" i="3"/>
  <c r="H1131" i="3"/>
  <c r="I1131" i="3" s="1"/>
  <c r="E1131" i="3"/>
  <c r="E1130" i="3"/>
  <c r="H1129" i="3"/>
  <c r="I1129" i="3" s="1"/>
  <c r="E1129" i="3"/>
  <c r="E1128" i="3"/>
  <c r="H1127" i="3"/>
  <c r="I1127" i="3" s="1"/>
  <c r="E1127" i="3"/>
  <c r="E1126" i="3"/>
  <c r="H1125" i="3"/>
  <c r="I1125" i="3" s="1"/>
  <c r="E1125" i="3"/>
  <c r="E1085" i="3"/>
  <c r="H1084" i="3"/>
  <c r="I1084" i="3" s="1"/>
  <c r="E1084" i="3"/>
  <c r="E1083" i="3"/>
  <c r="H1082" i="3"/>
  <c r="I1082" i="3" s="1"/>
  <c r="E1082" i="3"/>
  <c r="E1079" i="3"/>
  <c r="H1078" i="3"/>
  <c r="I1078" i="3" s="1"/>
  <c r="E1078" i="3"/>
  <c r="E1077" i="3"/>
  <c r="H1076" i="3"/>
  <c r="I1076" i="3" s="1"/>
  <c r="E1076" i="3"/>
  <c r="E1075" i="3"/>
  <c r="H1074" i="3"/>
  <c r="I1074" i="3" s="1"/>
  <c r="E1074" i="3"/>
  <c r="E1016" i="3"/>
  <c r="H1015" i="3"/>
  <c r="I1015" i="3" s="1"/>
  <c r="E1015" i="3"/>
  <c r="E1014" i="3"/>
  <c r="H1013" i="3"/>
  <c r="I1013" i="3" s="1"/>
  <c r="E1013" i="3"/>
  <c r="E1010" i="3"/>
  <c r="H1009" i="3"/>
  <c r="I1009" i="3" s="1"/>
  <c r="E1009" i="3"/>
  <c r="E1008" i="3"/>
  <c r="H1007" i="3"/>
  <c r="I1007" i="3" s="1"/>
  <c r="E1007" i="3"/>
  <c r="E1006" i="3"/>
  <c r="H1005" i="3"/>
  <c r="I1005" i="3" s="1"/>
  <c r="E1005" i="3"/>
  <c r="E951" i="3"/>
  <c r="H950" i="3"/>
  <c r="I950" i="3" s="1"/>
  <c r="E950" i="3"/>
  <c r="E949" i="3"/>
  <c r="H948" i="3"/>
  <c r="I948" i="3" s="1"/>
  <c r="E948" i="3"/>
  <c r="E947" i="3"/>
  <c r="H946" i="3"/>
  <c r="I946" i="3" s="1"/>
  <c r="E946" i="3"/>
  <c r="E945" i="3"/>
  <c r="H944" i="3"/>
  <c r="I944" i="3" s="1"/>
  <c r="E944" i="3"/>
  <c r="E943" i="3"/>
  <c r="H942" i="3"/>
  <c r="I942" i="3" s="1"/>
  <c r="E942" i="3"/>
  <c r="E894" i="3"/>
  <c r="H893" i="3"/>
  <c r="I893" i="3" s="1"/>
  <c r="E893" i="3"/>
  <c r="E892" i="3"/>
  <c r="H891" i="3"/>
  <c r="I891" i="3" s="1"/>
  <c r="E891" i="3"/>
  <c r="E888" i="3"/>
  <c r="H887" i="3"/>
  <c r="I887" i="3" s="1"/>
  <c r="E887" i="3"/>
  <c r="E886" i="3"/>
  <c r="H885" i="3"/>
  <c r="I885" i="3" s="1"/>
  <c r="E885" i="3"/>
  <c r="E884" i="3"/>
  <c r="H883" i="3"/>
  <c r="I883" i="3" s="1"/>
  <c r="E883" i="3"/>
  <c r="E825" i="3"/>
  <c r="H824" i="3"/>
  <c r="I824" i="3" s="1"/>
  <c r="E824" i="3"/>
  <c r="E823" i="3"/>
  <c r="H822" i="3"/>
  <c r="I822" i="3" s="1"/>
  <c r="E822" i="3"/>
  <c r="E821" i="3"/>
  <c r="H820" i="3"/>
  <c r="I820" i="3" s="1"/>
  <c r="E820" i="3"/>
  <c r="E819" i="3"/>
  <c r="H818" i="3"/>
  <c r="I818" i="3" s="1"/>
  <c r="E818" i="3"/>
  <c r="E817" i="3"/>
  <c r="H816" i="3"/>
  <c r="I816" i="3" s="1"/>
  <c r="E816" i="3"/>
  <c r="E758" i="3"/>
  <c r="H757" i="3"/>
  <c r="I757" i="3" s="1"/>
  <c r="E757" i="3"/>
  <c r="E756" i="3"/>
  <c r="H755" i="3"/>
  <c r="I755" i="3" s="1"/>
  <c r="E755" i="3"/>
  <c r="E752" i="3"/>
  <c r="H751" i="3"/>
  <c r="I751" i="3" s="1"/>
  <c r="E751" i="3"/>
  <c r="E750" i="3"/>
  <c r="H749" i="3"/>
  <c r="I749" i="3" s="1"/>
  <c r="E749" i="3"/>
  <c r="E748" i="3"/>
  <c r="H747" i="3"/>
  <c r="I747" i="3" s="1"/>
  <c r="E747" i="3"/>
  <c r="E687" i="3"/>
  <c r="H686" i="3"/>
  <c r="I686" i="3" s="1"/>
  <c r="E686" i="3"/>
  <c r="E685" i="3"/>
  <c r="H684" i="3"/>
  <c r="I684" i="3" s="1"/>
  <c r="E684" i="3"/>
  <c r="E683" i="3"/>
  <c r="H682" i="3"/>
  <c r="I682" i="3" s="1"/>
  <c r="E682" i="3"/>
  <c r="E681" i="3"/>
  <c r="H680" i="3"/>
  <c r="I680" i="3" s="1"/>
  <c r="E680" i="3"/>
  <c r="E679" i="3"/>
  <c r="H678" i="3"/>
  <c r="I678" i="3" s="1"/>
  <c r="E678" i="3"/>
  <c r="E630" i="3"/>
  <c r="H629" i="3"/>
  <c r="I629" i="3" s="1"/>
  <c r="E629" i="3"/>
  <c r="E628" i="3"/>
  <c r="H627" i="3"/>
  <c r="I627" i="3" s="1"/>
  <c r="E627" i="3"/>
  <c r="E624" i="3"/>
  <c r="H623" i="3"/>
  <c r="I623" i="3" s="1"/>
  <c r="E623" i="3"/>
  <c r="E622" i="3"/>
  <c r="H621" i="3"/>
  <c r="I621" i="3" s="1"/>
  <c r="E621" i="3"/>
  <c r="E620" i="3"/>
  <c r="H619" i="3"/>
  <c r="I619" i="3" s="1"/>
  <c r="E619" i="3"/>
  <c r="E561" i="3"/>
  <c r="H560" i="3"/>
  <c r="I560" i="3" s="1"/>
  <c r="E560" i="3"/>
  <c r="E559" i="3"/>
  <c r="H558" i="3"/>
  <c r="I558" i="3" s="1"/>
  <c r="E558" i="3"/>
  <c r="E555" i="3"/>
  <c r="H554" i="3"/>
  <c r="I554" i="3" s="1"/>
  <c r="E554" i="3"/>
  <c r="E553" i="3"/>
  <c r="H552" i="3"/>
  <c r="I552" i="3" s="1"/>
  <c r="E552" i="3"/>
  <c r="E551" i="3"/>
  <c r="H550" i="3"/>
  <c r="I550" i="3" s="1"/>
  <c r="E550" i="3"/>
  <c r="E494" i="3"/>
  <c r="H493" i="3"/>
  <c r="I493" i="3" s="1"/>
  <c r="E493" i="3"/>
  <c r="E492" i="3"/>
  <c r="H491" i="3"/>
  <c r="I491" i="3" s="1"/>
  <c r="E491" i="3"/>
  <c r="E488" i="3"/>
  <c r="H487" i="3"/>
  <c r="I487" i="3" s="1"/>
  <c r="E487" i="3"/>
  <c r="E486" i="3"/>
  <c r="H485" i="3"/>
  <c r="I485" i="3" s="1"/>
  <c r="E485" i="3"/>
  <c r="E484" i="3"/>
  <c r="H483" i="3"/>
  <c r="I483" i="3" s="1"/>
  <c r="E483" i="3"/>
  <c r="E415" i="3"/>
  <c r="H414" i="3"/>
  <c r="I414" i="3" s="1"/>
  <c r="E414" i="3"/>
  <c r="E413" i="3"/>
  <c r="H412" i="3"/>
  <c r="I412" i="3" s="1"/>
  <c r="E411" i="3"/>
  <c r="H410" i="3"/>
  <c r="I410" i="3" s="1"/>
  <c r="E409" i="3"/>
  <c r="H408" i="3"/>
  <c r="I408" i="3" s="1"/>
  <c r="E408" i="3"/>
  <c r="E407" i="3"/>
  <c r="H406" i="3"/>
  <c r="I406" i="3" s="1"/>
  <c r="E406" i="3"/>
  <c r="E356" i="3"/>
  <c r="H355" i="3"/>
  <c r="I355" i="3" s="1"/>
  <c r="E355" i="3"/>
  <c r="E354" i="3"/>
  <c r="H353" i="3"/>
  <c r="I353" i="3" s="1"/>
  <c r="E353" i="3"/>
  <c r="E350" i="3"/>
  <c r="H349" i="3"/>
  <c r="I349" i="3" s="1"/>
  <c r="E349" i="3"/>
  <c r="E348" i="3"/>
  <c r="H347" i="3"/>
  <c r="I347" i="3" s="1"/>
  <c r="E347" i="3"/>
  <c r="E346" i="3"/>
  <c r="H345" i="3"/>
  <c r="I345" i="3" s="1"/>
  <c r="E345" i="3"/>
  <c r="E344" i="3"/>
  <c r="H343" i="3"/>
  <c r="F343" i="3"/>
  <c r="E343" i="3"/>
  <c r="E340" i="3"/>
  <c r="H339" i="3"/>
  <c r="F339" i="3"/>
  <c r="E339" i="3"/>
  <c r="E336" i="3"/>
  <c r="H335" i="3"/>
  <c r="F335" i="3"/>
  <c r="E335" i="3"/>
  <c r="E332" i="3"/>
  <c r="H331" i="3"/>
  <c r="F331" i="3"/>
  <c r="E331" i="3"/>
  <c r="E326" i="3"/>
  <c r="H325" i="3"/>
  <c r="E325" i="3"/>
  <c r="E322" i="3"/>
  <c r="H321" i="3"/>
  <c r="E321" i="3"/>
  <c r="E318" i="3"/>
  <c r="H317" i="3"/>
  <c r="E317" i="3"/>
  <c r="E298" i="3"/>
  <c r="H297" i="3"/>
  <c r="I297" i="3" s="1"/>
  <c r="E297" i="3"/>
  <c r="E294" i="3"/>
  <c r="H293" i="3"/>
  <c r="I293" i="3" s="1"/>
  <c r="E293" i="3"/>
  <c r="E292" i="3"/>
  <c r="H291" i="3"/>
  <c r="I291" i="3" s="1"/>
  <c r="E291" i="3"/>
  <c r="E285" i="3"/>
  <c r="H284" i="3"/>
  <c r="I284" i="3" s="1"/>
  <c r="E284" i="3"/>
  <c r="E283" i="3"/>
  <c r="H282" i="3"/>
  <c r="I282" i="3" s="1"/>
  <c r="E282" i="3"/>
  <c r="E279" i="3"/>
  <c r="H278" i="3"/>
  <c r="I278" i="3" s="1"/>
  <c r="E278" i="3"/>
  <c r="E277" i="3"/>
  <c r="H276" i="3"/>
  <c r="I276" i="3" s="1"/>
  <c r="E276" i="3"/>
  <c r="E275" i="3"/>
  <c r="H274" i="3"/>
  <c r="I274" i="3" s="1"/>
  <c r="E274" i="3"/>
  <c r="E261" i="3"/>
  <c r="H260" i="3"/>
  <c r="F260" i="3"/>
  <c r="E260" i="3"/>
  <c r="E257" i="3"/>
  <c r="H256" i="3"/>
  <c r="F256" i="3"/>
  <c r="E256" i="3"/>
  <c r="E253" i="3"/>
  <c r="H252" i="3"/>
  <c r="F252" i="3"/>
  <c r="E252" i="3"/>
  <c r="E247" i="3"/>
  <c r="H246" i="3"/>
  <c r="E246" i="3"/>
  <c r="E227" i="3"/>
  <c r="H226" i="3"/>
  <c r="I226" i="3" s="1"/>
  <c r="E226" i="3"/>
  <c r="E223" i="3"/>
  <c r="H222" i="3"/>
  <c r="I222" i="3" s="1"/>
  <c r="E222" i="3"/>
  <c r="E221" i="3"/>
  <c r="H220" i="3"/>
  <c r="I220" i="3" s="1"/>
  <c r="E220" i="3"/>
  <c r="E214" i="3"/>
  <c r="H213" i="3"/>
  <c r="I213" i="3" s="1"/>
  <c r="E213" i="3"/>
  <c r="E212" i="3"/>
  <c r="H211" i="3"/>
  <c r="I211" i="3" s="1"/>
  <c r="E211" i="3"/>
  <c r="E210" i="3"/>
  <c r="H209" i="3"/>
  <c r="I209" i="3" s="1"/>
  <c r="E209" i="3"/>
  <c r="E208" i="3"/>
  <c r="H207" i="3"/>
  <c r="E207" i="3"/>
  <c r="E206" i="3"/>
  <c r="H205" i="3"/>
  <c r="E205" i="3"/>
  <c r="E204" i="3"/>
  <c r="H203" i="3"/>
  <c r="F203" i="3"/>
  <c r="E203" i="3"/>
  <c r="E200" i="3"/>
  <c r="H199" i="3"/>
  <c r="F199" i="3"/>
  <c r="E199" i="3"/>
  <c r="E196" i="3"/>
  <c r="H195" i="3"/>
  <c r="F195" i="3"/>
  <c r="E195" i="3"/>
  <c r="E192" i="3"/>
  <c r="H191" i="3"/>
  <c r="F191" i="3"/>
  <c r="E191" i="3"/>
  <c r="E184" i="3"/>
  <c r="H183" i="3"/>
  <c r="E183" i="3"/>
  <c r="E180" i="3"/>
  <c r="H179" i="3"/>
  <c r="E179" i="3"/>
  <c r="E168" i="3"/>
  <c r="H167" i="3"/>
  <c r="I167" i="3" s="1"/>
  <c r="E167" i="3"/>
  <c r="E164" i="3"/>
  <c r="H163" i="3"/>
  <c r="I163" i="3" s="1"/>
  <c r="E163" i="3"/>
  <c r="E162" i="3"/>
  <c r="H161" i="3"/>
  <c r="I161" i="3" s="1"/>
  <c r="E161" i="3"/>
  <c r="E114" i="3"/>
  <c r="H113" i="3"/>
  <c r="E113" i="3"/>
  <c r="E112" i="3"/>
  <c r="H111" i="3"/>
  <c r="E111" i="3"/>
  <c r="E110" i="3"/>
  <c r="H109" i="3"/>
  <c r="E109" i="3"/>
  <c r="E108" i="3"/>
  <c r="H107" i="3"/>
  <c r="E107" i="3"/>
  <c r="E106" i="3"/>
  <c r="H105" i="3"/>
  <c r="E105" i="3"/>
  <c r="E104" i="3"/>
  <c r="H103" i="3"/>
  <c r="F103" i="3"/>
  <c r="F105" i="3" s="1"/>
  <c r="F107" i="3" s="1"/>
  <c r="E103" i="3"/>
  <c r="E98" i="3"/>
  <c r="H97" i="3"/>
  <c r="F97" i="3"/>
  <c r="E97" i="3"/>
  <c r="E92" i="3"/>
  <c r="H91" i="3"/>
  <c r="I91" i="3" s="1"/>
  <c r="E91" i="3"/>
  <c r="E88" i="3"/>
  <c r="H87" i="3"/>
  <c r="I87" i="3" s="1"/>
  <c r="E87" i="3"/>
  <c r="E86" i="3"/>
  <c r="H85" i="3"/>
  <c r="I85" i="3" s="1"/>
  <c r="E85" i="3"/>
  <c r="F56" i="3"/>
  <c r="F60" i="3"/>
  <c r="F66" i="3" s="1"/>
  <c r="F68" i="3" s="1"/>
  <c r="F70" i="3" s="1"/>
  <c r="F72" i="3" s="1"/>
  <c r="F76" i="3" s="1"/>
  <c r="F78" i="3" s="1"/>
  <c r="F52" i="3"/>
  <c r="F48" i="3"/>
  <c r="F44" i="3"/>
  <c r="I418" i="3" l="1"/>
  <c r="I1088" i="3"/>
  <c r="I1019" i="3"/>
  <c r="I897" i="3"/>
  <c r="I761" i="3"/>
  <c r="I633" i="3"/>
  <c r="I564" i="3"/>
  <c r="I497" i="3"/>
  <c r="I359" i="3"/>
  <c r="I288" i="3"/>
  <c r="I1137" i="3"/>
  <c r="I954" i="3"/>
  <c r="I828" i="3"/>
  <c r="I690" i="3"/>
  <c r="I1109" i="3"/>
  <c r="I1111" i="3"/>
  <c r="I1115" i="3"/>
  <c r="I1107" i="3"/>
  <c r="I1123" i="3"/>
  <c r="I1119" i="3"/>
  <c r="I1048" i="3"/>
  <c r="I1054" i="3"/>
  <c r="I1068" i="3"/>
  <c r="I1060" i="3"/>
  <c r="I1050" i="3"/>
  <c r="I1064" i="3"/>
  <c r="I999" i="3"/>
  <c r="I981" i="3"/>
  <c r="I985" i="3"/>
  <c r="I991" i="3"/>
  <c r="I995" i="3"/>
  <c r="I918" i="3"/>
  <c r="I928" i="3"/>
  <c r="I932" i="3"/>
  <c r="I936" i="3"/>
  <c r="I920" i="3"/>
  <c r="I940" i="3"/>
  <c r="I924" i="3"/>
  <c r="I873" i="3"/>
  <c r="I865" i="3"/>
  <c r="I859" i="3"/>
  <c r="I869" i="3"/>
  <c r="I782" i="3"/>
  <c r="I855" i="3"/>
  <c r="I798" i="3"/>
  <c r="I786" i="3"/>
  <c r="I790" i="3"/>
  <c r="I794" i="3"/>
  <c r="I806" i="3"/>
  <c r="I802" i="3"/>
  <c r="I810" i="3"/>
  <c r="I719" i="3"/>
  <c r="I725" i="3"/>
  <c r="I729" i="3"/>
  <c r="I733" i="3"/>
  <c r="I715" i="3"/>
  <c r="I664" i="3"/>
  <c r="I652" i="3"/>
  <c r="I593" i="3"/>
  <c r="I676" i="3"/>
  <c r="I660" i="3"/>
  <c r="I672" i="3"/>
  <c r="I656" i="3"/>
  <c r="I668" i="3"/>
  <c r="I597" i="3"/>
  <c r="I589" i="3"/>
  <c r="I605" i="3"/>
  <c r="I601" i="3"/>
  <c r="I540" i="3"/>
  <c r="I530" i="3"/>
  <c r="I544" i="3"/>
  <c r="I526" i="3"/>
  <c r="I534" i="3"/>
  <c r="I548" i="3"/>
  <c r="I461" i="3"/>
  <c r="I455" i="3"/>
  <c r="I447" i="3"/>
  <c r="I451" i="3"/>
  <c r="I465" i="3"/>
  <c r="I469" i="3"/>
  <c r="I400" i="3"/>
  <c r="I382" i="3"/>
  <c r="I388" i="3"/>
  <c r="I384" i="3"/>
  <c r="I380" i="3"/>
  <c r="I317" i="3"/>
  <c r="I343" i="3"/>
  <c r="I335" i="3"/>
  <c r="I321" i="3"/>
  <c r="I339" i="3"/>
  <c r="I331" i="3"/>
  <c r="I325" i="3"/>
  <c r="I256" i="3"/>
  <c r="I260" i="3"/>
  <c r="I252" i="3"/>
  <c r="I246" i="3"/>
  <c r="I205" i="3"/>
  <c r="I207" i="3"/>
  <c r="I203" i="3"/>
  <c r="I199" i="3"/>
  <c r="I195" i="3"/>
  <c r="I191" i="3"/>
  <c r="I179" i="3"/>
  <c r="I183" i="3"/>
  <c r="I105" i="3"/>
  <c r="I103" i="3"/>
  <c r="I107" i="3"/>
  <c r="I113" i="3"/>
  <c r="I109" i="3"/>
  <c r="I97" i="3"/>
  <c r="F74" i="3"/>
  <c r="I74" i="3" s="1"/>
  <c r="I72" i="3"/>
  <c r="I68" i="3"/>
  <c r="I70" i="3"/>
  <c r="I76" i="3"/>
  <c r="I66" i="3"/>
  <c r="I78" i="3"/>
  <c r="I56" i="3"/>
  <c r="I60" i="3"/>
  <c r="I44" i="3"/>
  <c r="I48" i="3"/>
  <c r="I52" i="3"/>
  <c r="I417" i="3" l="1"/>
  <c r="I287" i="3"/>
  <c r="I1087" i="3"/>
  <c r="I896" i="3"/>
  <c r="I1018" i="3"/>
  <c r="I632" i="3"/>
  <c r="I563" i="3"/>
  <c r="I496" i="3"/>
  <c r="I358" i="3"/>
  <c r="I81" i="3"/>
  <c r="I82" i="3"/>
  <c r="I827" i="3"/>
  <c r="I216" i="3"/>
  <c r="I1136" i="3"/>
  <c r="I116" i="3"/>
  <c r="I953" i="3"/>
  <c r="I689" i="3"/>
  <c r="I217" i="3"/>
  <c r="I111" i="3"/>
  <c r="I117" i="3" s="1"/>
  <c r="I1279" i="3" l="1"/>
  <c r="I1287" i="3" s="1"/>
  <c r="I1275" i="3"/>
  <c r="E1205" i="3"/>
  <c r="E1122" i="3"/>
  <c r="E1121" i="3"/>
  <c r="E1118" i="3"/>
  <c r="E1117" i="3"/>
  <c r="E1114" i="3"/>
  <c r="E1113" i="3"/>
  <c r="E1100" i="3"/>
  <c r="E1099" i="3"/>
  <c r="E1096" i="3"/>
  <c r="E1095" i="3"/>
  <c r="E1067" i="3"/>
  <c r="E1066" i="3"/>
  <c r="E1063" i="3"/>
  <c r="E1062" i="3"/>
  <c r="E1059" i="3"/>
  <c r="E1058" i="3"/>
  <c r="E1053" i="3"/>
  <c r="E1052" i="3"/>
  <c r="E1047" i="3"/>
  <c r="E1046" i="3"/>
  <c r="E1031" i="3"/>
  <c r="E1030" i="3"/>
  <c r="E1027" i="3"/>
  <c r="E1026" i="3"/>
  <c r="E998" i="3"/>
  <c r="E997" i="3"/>
  <c r="E994" i="3"/>
  <c r="E993" i="3"/>
  <c r="E990" i="3"/>
  <c r="E989" i="3"/>
  <c r="E984" i="3"/>
  <c r="E983" i="3"/>
  <c r="E966" i="3"/>
  <c r="E965" i="3"/>
  <c r="E962" i="3"/>
  <c r="E961" i="3"/>
  <c r="E939" i="3"/>
  <c r="E938" i="3"/>
  <c r="E935" i="3"/>
  <c r="E934" i="3"/>
  <c r="E931" i="3"/>
  <c r="E930" i="3"/>
  <c r="E927" i="3"/>
  <c r="E926" i="3"/>
  <c r="E923" i="3"/>
  <c r="E922" i="3"/>
  <c r="E917" i="3"/>
  <c r="E916" i="3"/>
  <c r="E909" i="3"/>
  <c r="E908" i="3"/>
  <c r="E905" i="3"/>
  <c r="E904" i="3"/>
  <c r="E872" i="3"/>
  <c r="E871" i="3"/>
  <c r="E868" i="3"/>
  <c r="E867" i="3"/>
  <c r="E864" i="3"/>
  <c r="E863" i="3"/>
  <c r="E858" i="3"/>
  <c r="E857" i="3"/>
  <c r="E840" i="3"/>
  <c r="E839" i="3"/>
  <c r="E836" i="3"/>
  <c r="E835" i="3"/>
  <c r="E809" i="3"/>
  <c r="E808" i="3"/>
  <c r="E805" i="3"/>
  <c r="E804" i="3"/>
  <c r="E801" i="3"/>
  <c r="E800" i="3"/>
  <c r="E797" i="3"/>
  <c r="E796" i="3"/>
  <c r="E793" i="3"/>
  <c r="E792" i="3"/>
  <c r="E789" i="3"/>
  <c r="E788" i="3"/>
  <c r="E785" i="3"/>
  <c r="E784" i="3"/>
  <c r="E781" i="3"/>
  <c r="E780" i="3"/>
  <c r="E773" i="3"/>
  <c r="E772" i="3"/>
  <c r="E769" i="3"/>
  <c r="E768" i="3"/>
  <c r="E732" i="3"/>
  <c r="E731" i="3"/>
  <c r="E728" i="3"/>
  <c r="E727" i="3"/>
  <c r="E724" i="3"/>
  <c r="E723" i="3"/>
  <c r="E702" i="3"/>
  <c r="E701" i="3"/>
  <c r="E698" i="3"/>
  <c r="E697" i="3"/>
  <c r="E675" i="3"/>
  <c r="E674" i="3"/>
  <c r="E671" i="3"/>
  <c r="E670" i="3"/>
  <c r="E667" i="3"/>
  <c r="E666" i="3"/>
  <c r="E663" i="3"/>
  <c r="E662" i="3"/>
  <c r="E659" i="3"/>
  <c r="E658" i="3"/>
  <c r="E655" i="3"/>
  <c r="E654" i="3"/>
  <c r="E651" i="3"/>
  <c r="E650" i="3"/>
  <c r="E645" i="3"/>
  <c r="E644" i="3"/>
  <c r="E641" i="3"/>
  <c r="E640" i="3"/>
  <c r="E604" i="3"/>
  <c r="E603" i="3"/>
  <c r="E600" i="3"/>
  <c r="E599" i="3"/>
  <c r="E596" i="3"/>
  <c r="E595" i="3"/>
  <c r="E592" i="3"/>
  <c r="E591" i="3"/>
  <c r="E576" i="3"/>
  <c r="E575" i="3"/>
  <c r="E572" i="3"/>
  <c r="E571" i="3"/>
  <c r="E634" i="3"/>
  <c r="E547" i="3"/>
  <c r="E546" i="3"/>
  <c r="E543" i="3"/>
  <c r="E542" i="3"/>
  <c r="E539" i="3"/>
  <c r="E538" i="3"/>
  <c r="E533" i="3"/>
  <c r="E532" i="3"/>
  <c r="E529" i="3"/>
  <c r="E528" i="3"/>
  <c r="E525" i="3"/>
  <c r="E524" i="3"/>
  <c r="E509" i="3"/>
  <c r="E508" i="3"/>
  <c r="E505" i="3"/>
  <c r="E504" i="3"/>
  <c r="E468" i="3"/>
  <c r="E467" i="3"/>
  <c r="E399" i="3"/>
  <c r="E398" i="3"/>
  <c r="E342" i="3"/>
  <c r="E341" i="3"/>
  <c r="E464" i="3"/>
  <c r="E463" i="3"/>
  <c r="E460" i="3"/>
  <c r="E459" i="3"/>
  <c r="E454" i="3"/>
  <c r="E453" i="3"/>
  <c r="E450" i="3"/>
  <c r="E449" i="3"/>
  <c r="E446" i="3"/>
  <c r="E445" i="3"/>
  <c r="E430" i="3"/>
  <c r="E429" i="3"/>
  <c r="E426" i="3"/>
  <c r="E425" i="3"/>
  <c r="E391" i="3"/>
  <c r="E390" i="3"/>
  <c r="E387" i="3"/>
  <c r="E386" i="3"/>
  <c r="E379" i="3"/>
  <c r="E378" i="3"/>
  <c r="E371" i="3"/>
  <c r="E370" i="3"/>
  <c r="E367" i="3"/>
  <c r="E366" i="3"/>
  <c r="E334" i="3"/>
  <c r="E333" i="3"/>
  <c r="E330" i="3"/>
  <c r="E329" i="3"/>
  <c r="E324" i="3"/>
  <c r="E323" i="3"/>
  <c r="E320" i="3"/>
  <c r="E319" i="3"/>
  <c r="E316" i="3"/>
  <c r="E315" i="3"/>
  <c r="E300" i="3"/>
  <c r="E299" i="3"/>
  <c r="E296" i="3"/>
  <c r="E295" i="3"/>
  <c r="E259" i="3"/>
  <c r="E258" i="3"/>
  <c r="E255" i="3"/>
  <c r="E254" i="3"/>
  <c r="E251" i="3"/>
  <c r="E250" i="3"/>
  <c r="E229" i="3"/>
  <c r="E228" i="3"/>
  <c r="E225" i="3"/>
  <c r="E224" i="3"/>
  <c r="E202" i="3"/>
  <c r="E201" i="3"/>
  <c r="E198" i="3"/>
  <c r="E197" i="3"/>
  <c r="E194" i="3"/>
  <c r="E193" i="3"/>
  <c r="E190" i="3"/>
  <c r="E189" i="3"/>
  <c r="E182" i="3"/>
  <c r="E181" i="3"/>
  <c r="E178" i="3"/>
  <c r="E177" i="3"/>
  <c r="E170" i="3"/>
  <c r="E169" i="3"/>
  <c r="E166" i="3"/>
  <c r="E165" i="3"/>
  <c r="E100" i="3"/>
  <c r="E99" i="3"/>
  <c r="E96" i="3"/>
  <c r="E95" i="3"/>
  <c r="E94" i="3"/>
  <c r="E93" i="3"/>
  <c r="E90" i="3"/>
  <c r="E89" i="3"/>
  <c r="H1121" i="3"/>
  <c r="I1121" i="3" s="1"/>
  <c r="H1117" i="3"/>
  <c r="I1117" i="3" s="1"/>
  <c r="H1113" i="3"/>
  <c r="I1113" i="3" s="1"/>
  <c r="H1099" i="3"/>
  <c r="I1099" i="3" s="1"/>
  <c r="H1095" i="3"/>
  <c r="I1095" i="3" s="1"/>
  <c r="H1066" i="3"/>
  <c r="I1066" i="3" s="1"/>
  <c r="H1062" i="3"/>
  <c r="I1062" i="3" s="1"/>
  <c r="H1058" i="3"/>
  <c r="I1058" i="3" s="1"/>
  <c r="H1052" i="3"/>
  <c r="I1052" i="3" s="1"/>
  <c r="H997" i="3"/>
  <c r="I997" i="3" s="1"/>
  <c r="H1046" i="3"/>
  <c r="I1046" i="3" s="1"/>
  <c r="H1030" i="3"/>
  <c r="I1030" i="3" s="1"/>
  <c r="H1026" i="3"/>
  <c r="I1026" i="3" s="1"/>
  <c r="H993" i="3"/>
  <c r="I993" i="3" s="1"/>
  <c r="H989" i="3"/>
  <c r="I989" i="3" s="1"/>
  <c r="H983" i="3"/>
  <c r="I983" i="3" s="1"/>
  <c r="H965" i="3"/>
  <c r="I965" i="3" s="1"/>
  <c r="H961" i="3"/>
  <c r="I961" i="3" s="1"/>
  <c r="H938" i="3"/>
  <c r="I938" i="3" s="1"/>
  <c r="H934" i="3"/>
  <c r="I934" i="3" s="1"/>
  <c r="H930" i="3"/>
  <c r="I930" i="3" s="1"/>
  <c r="H926" i="3"/>
  <c r="I926" i="3" s="1"/>
  <c r="H922" i="3"/>
  <c r="I922" i="3" s="1"/>
  <c r="H916" i="3"/>
  <c r="I916" i="3" s="1"/>
  <c r="H908" i="3"/>
  <c r="I908" i="3" s="1"/>
  <c r="H904" i="3"/>
  <c r="I904" i="3" s="1"/>
  <c r="H867" i="3"/>
  <c r="I867" i="3" s="1"/>
  <c r="H863" i="3"/>
  <c r="I863" i="3" s="1"/>
  <c r="H857" i="3"/>
  <c r="I857" i="3" s="1"/>
  <c r="H839" i="3"/>
  <c r="I839" i="3" s="1"/>
  <c r="H835" i="3"/>
  <c r="H808" i="3"/>
  <c r="I808" i="3" s="1"/>
  <c r="H804" i="3"/>
  <c r="I804" i="3" s="1"/>
  <c r="H800" i="3"/>
  <c r="I800" i="3" s="1"/>
  <c r="H796" i="3"/>
  <c r="I796" i="3" s="1"/>
  <c r="H792" i="3"/>
  <c r="I792" i="3" s="1"/>
  <c r="H788" i="3"/>
  <c r="I788" i="3" s="1"/>
  <c r="H784" i="3"/>
  <c r="I784" i="3" s="1"/>
  <c r="H780" i="3"/>
  <c r="I780" i="3" s="1"/>
  <c r="H772" i="3"/>
  <c r="I772" i="3" s="1"/>
  <c r="H768" i="3"/>
  <c r="I768" i="3" s="1"/>
  <c r="H731" i="3"/>
  <c r="I731" i="3" s="1"/>
  <c r="H727" i="3"/>
  <c r="I727" i="3" s="1"/>
  <c r="H723" i="3"/>
  <c r="I723" i="3" s="1"/>
  <c r="H701" i="3"/>
  <c r="I701" i="3" s="1"/>
  <c r="I760" i="3" s="1"/>
  <c r="H697" i="3"/>
  <c r="I697" i="3" s="1"/>
  <c r="H674" i="3"/>
  <c r="I674" i="3" s="1"/>
  <c r="H670" i="3"/>
  <c r="I670" i="3" s="1"/>
  <c r="H666" i="3"/>
  <c r="I666" i="3" s="1"/>
  <c r="H662" i="3"/>
  <c r="I662" i="3" s="1"/>
  <c r="H658" i="3"/>
  <c r="I658" i="3" s="1"/>
  <c r="H654" i="3"/>
  <c r="I654" i="3" s="1"/>
  <c r="H650" i="3"/>
  <c r="I650" i="3" s="1"/>
  <c r="H644" i="3"/>
  <c r="I644" i="3" s="1"/>
  <c r="H640" i="3"/>
  <c r="I640" i="3" s="1"/>
  <c r="H603" i="3"/>
  <c r="I603" i="3" s="1"/>
  <c r="H599" i="3"/>
  <c r="I599" i="3" s="1"/>
  <c r="H595" i="3"/>
  <c r="I595" i="3" s="1"/>
  <c r="H591" i="3"/>
  <c r="I591" i="3" s="1"/>
  <c r="H575" i="3"/>
  <c r="I575" i="3" s="1"/>
  <c r="H571" i="3"/>
  <c r="I571" i="3" s="1"/>
  <c r="H546" i="3"/>
  <c r="I546" i="3" s="1"/>
  <c r="H542" i="3"/>
  <c r="I542" i="3" s="1"/>
  <c r="H538" i="3"/>
  <c r="I538" i="3" s="1"/>
  <c r="H532" i="3"/>
  <c r="I532" i="3" s="1"/>
  <c r="H528" i="3"/>
  <c r="I528" i="3" s="1"/>
  <c r="H524" i="3"/>
  <c r="I524" i="3" s="1"/>
  <c r="H508" i="3"/>
  <c r="I508" i="3" s="1"/>
  <c r="H504" i="3"/>
  <c r="I504" i="3" s="1"/>
  <c r="H467" i="3"/>
  <c r="I467" i="3" s="1"/>
  <c r="H463" i="3"/>
  <c r="I463" i="3" s="1"/>
  <c r="H459" i="3"/>
  <c r="I459" i="3" s="1"/>
  <c r="H453" i="3"/>
  <c r="I453" i="3" s="1"/>
  <c r="H449" i="3"/>
  <c r="I449" i="3" s="1"/>
  <c r="H445" i="3"/>
  <c r="I445" i="3" s="1"/>
  <c r="H429" i="3"/>
  <c r="I429" i="3" s="1"/>
  <c r="H425" i="3"/>
  <c r="I425" i="3" s="1"/>
  <c r="H398" i="3"/>
  <c r="I398" i="3" s="1"/>
  <c r="H394" i="3"/>
  <c r="I394" i="3" s="1"/>
  <c r="H390" i="3"/>
  <c r="I390" i="3" s="1"/>
  <c r="H386" i="3"/>
  <c r="I386" i="3" s="1"/>
  <c r="H378" i="3"/>
  <c r="I378" i="3" s="1"/>
  <c r="H370" i="3"/>
  <c r="I370" i="3" s="1"/>
  <c r="H366" i="3"/>
  <c r="I366" i="3" s="1"/>
  <c r="H341" i="3"/>
  <c r="I341" i="3" s="1"/>
  <c r="H337" i="3"/>
  <c r="I337" i="3" s="1"/>
  <c r="H333" i="3"/>
  <c r="I333" i="3" s="1"/>
  <c r="H329" i="3"/>
  <c r="I329" i="3" s="1"/>
  <c r="H323" i="3"/>
  <c r="I323" i="3" s="1"/>
  <c r="H319" i="3"/>
  <c r="I319" i="3" s="1"/>
  <c r="H315" i="3"/>
  <c r="I315" i="3" s="1"/>
  <c r="H299" i="3"/>
  <c r="I299" i="3" s="1"/>
  <c r="H295" i="3"/>
  <c r="I295" i="3" s="1"/>
  <c r="H258" i="3"/>
  <c r="I258" i="3" s="1"/>
  <c r="H254" i="3"/>
  <c r="I254" i="3" s="1"/>
  <c r="H250" i="3"/>
  <c r="I250" i="3" s="1"/>
  <c r="H201" i="3"/>
  <c r="I201" i="3" s="1"/>
  <c r="H228" i="3"/>
  <c r="I228" i="3" s="1"/>
  <c r="H224" i="3"/>
  <c r="I224" i="3" s="1"/>
  <c r="H197" i="3"/>
  <c r="I197" i="3" s="1"/>
  <c r="H193" i="3"/>
  <c r="I193" i="3" s="1"/>
  <c r="H189" i="3"/>
  <c r="I189" i="3" s="1"/>
  <c r="H181" i="3"/>
  <c r="I181" i="3" s="1"/>
  <c r="H177" i="3"/>
  <c r="I177" i="3" s="1"/>
  <c r="H169" i="3"/>
  <c r="I169" i="3" s="1"/>
  <c r="H165" i="3"/>
  <c r="I165" i="3" s="1"/>
  <c r="H99" i="3"/>
  <c r="I99" i="3" s="1"/>
  <c r="H95" i="3"/>
  <c r="I95" i="3" s="1"/>
  <c r="H93" i="3"/>
  <c r="I93" i="3" s="1"/>
  <c r="H89" i="3"/>
  <c r="I89" i="3" s="1"/>
  <c r="I58" i="3"/>
  <c r="I54" i="3"/>
  <c r="I50" i="3"/>
  <c r="I46" i="3"/>
  <c r="I42" i="3"/>
  <c r="E762" i="3"/>
  <c r="E565" i="3"/>
  <c r="E498" i="3"/>
  <c r="E419" i="3"/>
  <c r="E395" i="3"/>
  <c r="E394" i="3"/>
  <c r="E338" i="3"/>
  <c r="E337" i="3"/>
  <c r="E360" i="3"/>
  <c r="I416" i="3" l="1"/>
  <c r="J418" i="3" s="1"/>
  <c r="I419" i="3"/>
  <c r="I1288" i="3"/>
  <c r="J1288" i="3" s="1"/>
  <c r="I286" i="3"/>
  <c r="J288" i="3" s="1"/>
  <c r="I495" i="3"/>
  <c r="I759" i="3"/>
  <c r="I562" i="3"/>
  <c r="J564" i="3" s="1"/>
  <c r="I1086" i="3"/>
  <c r="J1088" i="3" s="1"/>
  <c r="I1017" i="3"/>
  <c r="I631" i="3"/>
  <c r="I357" i="3"/>
  <c r="J359" i="3" s="1"/>
  <c r="I80" i="3"/>
  <c r="J82" i="3" s="1"/>
  <c r="I83" i="3"/>
  <c r="I1135" i="3"/>
  <c r="J1137" i="3" s="1"/>
  <c r="I952" i="3"/>
  <c r="J954" i="3" s="1"/>
  <c r="I826" i="3"/>
  <c r="J828" i="3" s="1"/>
  <c r="I215" i="3"/>
  <c r="J217" i="3" s="1"/>
  <c r="I115" i="3"/>
  <c r="J117" i="3" s="1"/>
  <c r="I565" i="3"/>
  <c r="I688" i="3"/>
  <c r="J690" i="3" s="1"/>
  <c r="I835" i="3"/>
  <c r="I895" i="3" s="1"/>
  <c r="I1289" i="3"/>
  <c r="I1290" i="3" s="1"/>
  <c r="I1138" i="3"/>
  <c r="I1090" i="3" s="1"/>
  <c r="I1089" i="3"/>
  <c r="I1021" i="3" s="1"/>
  <c r="I1020" i="3"/>
  <c r="I956" i="3" s="1"/>
  <c r="I955" i="3"/>
  <c r="I829" i="3"/>
  <c r="I762" i="3"/>
  <c r="I692" i="3" s="1"/>
  <c r="I498" i="3"/>
  <c r="I691" i="3"/>
  <c r="I634" i="3"/>
  <c r="I566" i="3" s="1"/>
  <c r="I118" i="3"/>
  <c r="I84" i="3" s="1"/>
  <c r="I360" i="3"/>
  <c r="I290" i="3" s="1"/>
  <c r="I289" i="3"/>
  <c r="I219" i="3" s="1"/>
  <c r="I218" i="3"/>
  <c r="I1141" i="3"/>
  <c r="I898" i="3" l="1"/>
  <c r="I830" i="3" s="1"/>
  <c r="J897" i="3"/>
  <c r="I899" i="3"/>
  <c r="J1019" i="3"/>
  <c r="I763" i="3"/>
  <c r="I635" i="3"/>
  <c r="J761" i="3"/>
  <c r="I499" i="3"/>
  <c r="J633" i="3"/>
  <c r="I420" i="3"/>
  <c r="I361" i="3"/>
  <c r="J497" i="3"/>
  <c r="I160" i="3"/>
  <c r="I5" i="3"/>
  <c r="I1274" i="3"/>
  <c r="I1273" i="3"/>
  <c r="I1140" i="3"/>
  <c r="I1139" i="3" l="1"/>
  <c r="I1366" i="3" s="1"/>
  <c r="E289" i="3"/>
  <c r="E218" i="3"/>
  <c r="E1139" i="3"/>
  <c r="E83" i="3"/>
  <c r="E118" i="3"/>
  <c r="I4" i="3" l="1"/>
</calcChain>
</file>

<file path=xl/sharedStrings.xml><?xml version="1.0" encoding="utf-8"?>
<sst xmlns="http://schemas.openxmlformats.org/spreadsheetml/2006/main" count="3556" uniqueCount="1032">
  <si>
    <t>PROYECTO DIGITALIZACIÓN ABASTECIMIENTO BARRENDIOLA &amp; ARRIARAN &amp; LAREO</t>
  </si>
  <si>
    <t>Presupuesto</t>
  </si>
  <si>
    <t>Código</t>
  </si>
  <si>
    <t>Codigo</t>
  </si>
  <si>
    <t>TRABAJO</t>
  </si>
  <si>
    <t>Resumen</t>
  </si>
  <si>
    <t>Cantidad</t>
  </si>
  <si>
    <t>Presupuesto unitario</t>
  </si>
  <si>
    <t>Importe Presupuesto</t>
  </si>
  <si>
    <t xml:space="preserve">CAP.01       </t>
  </si>
  <si>
    <t>SUMINISTRO DE MATERIAL SOLUCIÓN DE CONTROL PARA ESTACIONES REMOTAS BARRENDIOLA</t>
  </si>
  <si>
    <t/>
  </si>
  <si>
    <t xml:space="preserve"> SUBCAPÍTULO 01.01</t>
  </si>
  <si>
    <t xml:space="preserve">ER1 PRESA  </t>
  </si>
  <si>
    <t>01.01.01</t>
  </si>
  <si>
    <t>CARRIL</t>
  </si>
  <si>
    <t>HARDWARE</t>
  </si>
  <si>
    <t>PERFIL_M</t>
  </si>
  <si>
    <t>UD.</t>
  </si>
  <si>
    <t>01.01.02</t>
  </si>
  <si>
    <t>INST.</t>
  </si>
  <si>
    <t>INST</t>
  </si>
  <si>
    <t>INST_CARRIL</t>
  </si>
  <si>
    <t>01.01.03</t>
  </si>
  <si>
    <t>FA1500</t>
  </si>
  <si>
    <t>01.01.04</t>
  </si>
  <si>
    <t>CPU1500</t>
  </si>
  <si>
    <t>01.01.05</t>
  </si>
  <si>
    <t>INST_CPU</t>
  </si>
  <si>
    <t>01.01.06</t>
  </si>
  <si>
    <t>MEMOALIM</t>
  </si>
  <si>
    <t>MEMOCARD</t>
  </si>
  <si>
    <t>01.01.07</t>
  </si>
  <si>
    <t>ED1500</t>
  </si>
  <si>
    <t>01.01.08</t>
  </si>
  <si>
    <t>INST_ED</t>
  </si>
  <si>
    <t>01.01.09</t>
  </si>
  <si>
    <t>ENC_FRONTAL</t>
  </si>
  <si>
    <t>01.01.10</t>
  </si>
  <si>
    <t>SD1500</t>
  </si>
  <si>
    <t>01.01.11</t>
  </si>
  <si>
    <t>INST_SD</t>
  </si>
  <si>
    <t>01.01.12</t>
  </si>
  <si>
    <t>01.01.13</t>
  </si>
  <si>
    <t>EA1500</t>
  </si>
  <si>
    <t>01.01.14</t>
  </si>
  <si>
    <t>INST_EA</t>
  </si>
  <si>
    <t>01.01.15</t>
  </si>
  <si>
    <t>01.01.16</t>
  </si>
  <si>
    <t>SA1500</t>
  </si>
  <si>
    <t>01.01.17</t>
  </si>
  <si>
    <t>INST_SA</t>
  </si>
  <si>
    <t>01.01.18</t>
  </si>
  <si>
    <t>01.01.19</t>
  </si>
  <si>
    <t>HMI7</t>
  </si>
  <si>
    <t>01.01.20</t>
  </si>
  <si>
    <t>INST_HMI</t>
  </si>
  <si>
    <t>01.01.21</t>
  </si>
  <si>
    <t>XSLAN1400</t>
  </si>
  <si>
    <t>XSLAN-1400</t>
  </si>
  <si>
    <t>01.01.22</t>
  </si>
  <si>
    <t>INST_SHDSL</t>
  </si>
  <si>
    <t>01.01.23</t>
  </si>
  <si>
    <t>DESCARGADOR</t>
  </si>
  <si>
    <t>01.01.24</t>
  </si>
  <si>
    <t>INST_DESCARGADOR</t>
  </si>
  <si>
    <t>01.01.25</t>
  </si>
  <si>
    <t>IPL</t>
  </si>
  <si>
    <t>01.01.26</t>
  </si>
  <si>
    <t>INST_IPL</t>
  </si>
  <si>
    <t>01.01.27</t>
  </si>
  <si>
    <t>A310</t>
  </si>
  <si>
    <t>01.01.28</t>
  </si>
  <si>
    <t>INST_ANTENA</t>
  </si>
  <si>
    <t>01.01.29</t>
  </si>
  <si>
    <t>SWITCH</t>
  </si>
  <si>
    <t>01.01.30</t>
  </si>
  <si>
    <t>INST_SWITCH</t>
  </si>
  <si>
    <t>01.01.31</t>
  </si>
  <si>
    <t>PLANIFICACION</t>
  </si>
  <si>
    <t>ING</t>
  </si>
  <si>
    <t>PLANIFICAC</t>
  </si>
  <si>
    <t>01.01.32</t>
  </si>
  <si>
    <t>ING+ESQUEMAS</t>
  </si>
  <si>
    <t>01.01.33</t>
  </si>
  <si>
    <t>REV PROGRAMACIION PLC</t>
  </si>
  <si>
    <t>REV_PROG</t>
  </si>
  <si>
    <t>01.01.34</t>
  </si>
  <si>
    <t>PROGRAMA_PLC</t>
  </si>
  <si>
    <t>PROG_PLC</t>
  </si>
  <si>
    <t>01.01.35</t>
  </si>
  <si>
    <t>PROGRAMA HMI</t>
  </si>
  <si>
    <t>PROG_HMI</t>
  </si>
  <si>
    <t>01.01.36</t>
  </si>
  <si>
    <t>PME REM</t>
  </si>
  <si>
    <t>PME_REM</t>
  </si>
  <si>
    <t>01.01.37</t>
  </si>
  <si>
    <t>SCADA</t>
  </si>
  <si>
    <t>SCADA_REM</t>
  </si>
  <si>
    <t xml:space="preserve"> SUBCAPÍTULO 01.02</t>
  </si>
  <si>
    <t>CAMARA DE LLAVES (PRESA)</t>
  </si>
  <si>
    <t>01.02.01</t>
  </si>
  <si>
    <t>01.02.02</t>
  </si>
  <si>
    <t>01.02.03</t>
  </si>
  <si>
    <t>CPU</t>
  </si>
  <si>
    <t>ET200</t>
  </si>
  <si>
    <t>01.02.04</t>
  </si>
  <si>
    <t>01.02.05</t>
  </si>
  <si>
    <t>ED</t>
  </si>
  <si>
    <t>ET200_ED</t>
  </si>
  <si>
    <t>01.02.06</t>
  </si>
  <si>
    <t>ET200_BASE</t>
  </si>
  <si>
    <t>01.02.07</t>
  </si>
  <si>
    <t>01.02.08</t>
  </si>
  <si>
    <t>EA</t>
  </si>
  <si>
    <t>ET200_EA</t>
  </si>
  <si>
    <t>01.02.09</t>
  </si>
  <si>
    <t>01.02.10</t>
  </si>
  <si>
    <t>01.02.11</t>
  </si>
  <si>
    <t>01.02.12</t>
  </si>
  <si>
    <t>01.02.13</t>
  </si>
  <si>
    <t>01.02.14</t>
  </si>
  <si>
    <t>01.02.15</t>
  </si>
  <si>
    <t>TOTAL INSTALACION</t>
  </si>
  <si>
    <t>TOTAL INGENIERIA</t>
  </si>
  <si>
    <t xml:space="preserve"> SUBCAPÍTULO 01.03</t>
  </si>
  <si>
    <t>GALERÍA DERECHA (PRESA)</t>
  </si>
  <si>
    <t>01.03.01</t>
  </si>
  <si>
    <t>01.03.02</t>
  </si>
  <si>
    <t>01.03.03</t>
  </si>
  <si>
    <t>01.03.04</t>
  </si>
  <si>
    <t>01.03.05</t>
  </si>
  <si>
    <t>01.03.06</t>
  </si>
  <si>
    <t>01.03.07</t>
  </si>
  <si>
    <t>01.03.08</t>
  </si>
  <si>
    <t>01.03.09</t>
  </si>
  <si>
    <t>01.03.10</t>
  </si>
  <si>
    <t>01.03.11</t>
  </si>
  <si>
    <t>ET200_SA</t>
  </si>
  <si>
    <t>01.03.12</t>
  </si>
  <si>
    <t>01.03.13</t>
  </si>
  <si>
    <t>01.03.14</t>
  </si>
  <si>
    <t>01.03.15</t>
  </si>
  <si>
    <t>01.03.16</t>
  </si>
  <si>
    <t>01.03.17</t>
  </si>
  <si>
    <t>01.03.18</t>
  </si>
  <si>
    <t xml:space="preserve"> SUBCAPÍTULO 01.04</t>
  </si>
  <si>
    <t>ER2 BOMBEO BRINKOLA</t>
  </si>
  <si>
    <t>01.04.01</t>
  </si>
  <si>
    <t>01.04.02</t>
  </si>
  <si>
    <t>01.04.03</t>
  </si>
  <si>
    <t>01.04.04</t>
  </si>
  <si>
    <t>01.04.05</t>
  </si>
  <si>
    <t>FA</t>
  </si>
  <si>
    <t>01.04.06</t>
  </si>
  <si>
    <t>MEMORYCARD</t>
  </si>
  <si>
    <t>MC1200</t>
  </si>
  <si>
    <t>01.04.07</t>
  </si>
  <si>
    <t>TCOM_ADICIONAL</t>
  </si>
  <si>
    <t>TCOM1200</t>
  </si>
  <si>
    <t>01.04.08</t>
  </si>
  <si>
    <t>INST_COM</t>
  </si>
  <si>
    <t>01.04.09</t>
  </si>
  <si>
    <t>01.04.10</t>
  </si>
  <si>
    <t>01.04.11</t>
  </si>
  <si>
    <t>SD</t>
  </si>
  <si>
    <t>01.04.12</t>
  </si>
  <si>
    <t>01.04.13</t>
  </si>
  <si>
    <t>01.04.14</t>
  </si>
  <si>
    <t>01.04.15</t>
  </si>
  <si>
    <t>SA</t>
  </si>
  <si>
    <t>01.04.16</t>
  </si>
  <si>
    <t>01.04.17</t>
  </si>
  <si>
    <t>01.04.18</t>
  </si>
  <si>
    <t>01.04.19</t>
  </si>
  <si>
    <t>BP4200</t>
  </si>
  <si>
    <t>XSLAN-BP4200</t>
  </si>
  <si>
    <t>01.04.20</t>
  </si>
  <si>
    <t>01.04.21</t>
  </si>
  <si>
    <t>01.04.22</t>
  </si>
  <si>
    <t>01.04.23</t>
  </si>
  <si>
    <t>01.04.24</t>
  </si>
  <si>
    <t>01.04.25</t>
  </si>
  <si>
    <t>01.04.26</t>
  </si>
  <si>
    <t>01.04.27</t>
  </si>
  <si>
    <t xml:space="preserve"> SUBCAPÍTULO 01.05</t>
  </si>
  <si>
    <t>DEP BRINKOLA</t>
  </si>
  <si>
    <t>01.05.01</t>
  </si>
  <si>
    <t>01.05.02</t>
  </si>
  <si>
    <t>01.05.03</t>
  </si>
  <si>
    <t>01.05.04</t>
  </si>
  <si>
    <t>01.05.05</t>
  </si>
  <si>
    <t>01.05.06</t>
  </si>
  <si>
    <t>01.05.07</t>
  </si>
  <si>
    <t>01.05.08</t>
  </si>
  <si>
    <t>01.05.09</t>
  </si>
  <si>
    <t>TCOM MODBUS</t>
  </si>
  <si>
    <t>TCRTU</t>
  </si>
  <si>
    <t>01.05.10</t>
  </si>
  <si>
    <t>INST_RTU</t>
  </si>
  <si>
    <t>01.05.11</t>
  </si>
  <si>
    <t>TCOM MODBUS CAUDALIMETRO</t>
  </si>
  <si>
    <t>TCRTU_Cau</t>
  </si>
  <si>
    <t>01.05.12</t>
  </si>
  <si>
    <t>INST_TMOD_CAU</t>
  </si>
  <si>
    <t>01.05.13</t>
  </si>
  <si>
    <t>01.05.14</t>
  </si>
  <si>
    <t>01.05.15</t>
  </si>
  <si>
    <t>RET_CABLE_CAUDAL</t>
  </si>
  <si>
    <t>01.05.16</t>
  </si>
  <si>
    <t>HMI4</t>
  </si>
  <si>
    <t>01.05.17</t>
  </si>
  <si>
    <t>01.05.18</t>
  </si>
  <si>
    <t>BP2400</t>
  </si>
  <si>
    <t>01.05.19</t>
  </si>
  <si>
    <t>01.05.20</t>
  </si>
  <si>
    <t>01.05.21</t>
  </si>
  <si>
    <t>01.05.22</t>
  </si>
  <si>
    <t>01.05.23</t>
  </si>
  <si>
    <t>01.05.24</t>
  </si>
  <si>
    <t>01.05.25</t>
  </si>
  <si>
    <t>01.05.26</t>
  </si>
  <si>
    <t>01.05.27</t>
  </si>
  <si>
    <t>01.05.28</t>
  </si>
  <si>
    <t>01.05.29</t>
  </si>
  <si>
    <t>01.05.30</t>
  </si>
  <si>
    <t>01.05.31</t>
  </si>
  <si>
    <t>PROGRAMA_MODBUS</t>
  </si>
  <si>
    <t>PROG_MOD</t>
  </si>
  <si>
    <t>01.05.32</t>
  </si>
  <si>
    <t>01.05.33</t>
  </si>
  <si>
    <t>01.05.34</t>
  </si>
  <si>
    <t xml:space="preserve"> SUBCAPÍTULO 01.06</t>
  </si>
  <si>
    <t>ER3 DEPOSTIO LEGAZPI</t>
  </si>
  <si>
    <t>01.06.01</t>
  </si>
  <si>
    <t>01.06.02</t>
  </si>
  <si>
    <t>01.06.03</t>
  </si>
  <si>
    <t>01.06.04</t>
  </si>
  <si>
    <t>01.06.05</t>
  </si>
  <si>
    <t>01.06.06</t>
  </si>
  <si>
    <t>01.06.07</t>
  </si>
  <si>
    <t>01.06.08</t>
  </si>
  <si>
    <t>01.06.09</t>
  </si>
  <si>
    <t>01.06.10</t>
  </si>
  <si>
    <t>01.06.11</t>
  </si>
  <si>
    <t>01.06.12</t>
  </si>
  <si>
    <t>01.06.13</t>
  </si>
  <si>
    <t>01.06.14</t>
  </si>
  <si>
    <t>01.06.15</t>
  </si>
  <si>
    <t>01.06.16</t>
  </si>
  <si>
    <t>01.06.17</t>
  </si>
  <si>
    <t>01.06.18</t>
  </si>
  <si>
    <t>01.06.19</t>
  </si>
  <si>
    <t>01.06.20</t>
  </si>
  <si>
    <t>01.06.21</t>
  </si>
  <si>
    <t>01.06.22</t>
  </si>
  <si>
    <t>01.06.23</t>
  </si>
  <si>
    <t>01.06.24</t>
  </si>
  <si>
    <t>XSLAN-BP2400</t>
  </si>
  <si>
    <t>01.06.25</t>
  </si>
  <si>
    <t>01.06.26</t>
  </si>
  <si>
    <t>01.06.27</t>
  </si>
  <si>
    <t>01.06.28</t>
  </si>
  <si>
    <t>01.06.29</t>
  </si>
  <si>
    <t>01.06.30</t>
  </si>
  <si>
    <t>01.06.31</t>
  </si>
  <si>
    <t>01.06.32</t>
  </si>
  <si>
    <t>01.06.33</t>
  </si>
  <si>
    <t xml:space="preserve"> SUBCAPÍTULO 01.07</t>
  </si>
  <si>
    <t>ER4 DERIVACION GALDOS</t>
  </si>
  <si>
    <t>01.07.01</t>
  </si>
  <si>
    <t>01.07.02</t>
  </si>
  <si>
    <t>01.07.03</t>
  </si>
  <si>
    <t>01.07.04</t>
  </si>
  <si>
    <t>01.07.05</t>
  </si>
  <si>
    <t>01.07.06</t>
  </si>
  <si>
    <t>01.07.07</t>
  </si>
  <si>
    <t>01.07.08</t>
  </si>
  <si>
    <t>01.07.09</t>
  </si>
  <si>
    <t>01.07.10</t>
  </si>
  <si>
    <t>01.07.11</t>
  </si>
  <si>
    <t>01.07.12</t>
  </si>
  <si>
    <t>01.07.13</t>
  </si>
  <si>
    <t>01.07.14</t>
  </si>
  <si>
    <t>01.07.15</t>
  </si>
  <si>
    <t>01.07.16</t>
  </si>
  <si>
    <t>01.07.17</t>
  </si>
  <si>
    <t>01.07.18</t>
  </si>
  <si>
    <t>01.07.19</t>
  </si>
  <si>
    <t>01.07.20</t>
  </si>
  <si>
    <t>01.07.21</t>
  </si>
  <si>
    <t>01.07.22</t>
  </si>
  <si>
    <t>01.07.23</t>
  </si>
  <si>
    <t>01.07.24</t>
  </si>
  <si>
    <t>01.07.25</t>
  </si>
  <si>
    <t>01.07.26</t>
  </si>
  <si>
    <t>01.07.27</t>
  </si>
  <si>
    <t xml:space="preserve"> SUBCAPÍTULO 01.08</t>
  </si>
  <si>
    <t>ER5 DEPOSITO URRETXU</t>
  </si>
  <si>
    <t>01.08.01</t>
  </si>
  <si>
    <t>01.08.02</t>
  </si>
  <si>
    <t>01.08.03</t>
  </si>
  <si>
    <t>01.08.04</t>
  </si>
  <si>
    <t>01.08.05</t>
  </si>
  <si>
    <t>01.08.06</t>
  </si>
  <si>
    <t>01.08.07</t>
  </si>
  <si>
    <t>01.08.08</t>
  </si>
  <si>
    <t>01.08.09</t>
  </si>
  <si>
    <t>01.08.10</t>
  </si>
  <si>
    <t>01.08.11</t>
  </si>
  <si>
    <t>01.08.12</t>
  </si>
  <si>
    <t>01.08.13</t>
  </si>
  <si>
    <t>01.08.14</t>
  </si>
  <si>
    <t>01.08.15</t>
  </si>
  <si>
    <t>01.08.16</t>
  </si>
  <si>
    <t>01.08.17</t>
  </si>
  <si>
    <t>01.08.18</t>
  </si>
  <si>
    <t>01.08.19</t>
  </si>
  <si>
    <t>01.08.20</t>
  </si>
  <si>
    <t>01.08.21</t>
  </si>
  <si>
    <t>01.08.22</t>
  </si>
  <si>
    <t>01.08.23</t>
  </si>
  <si>
    <t>01.08.24</t>
  </si>
  <si>
    <t>01.08.25</t>
  </si>
  <si>
    <t>01.08.26</t>
  </si>
  <si>
    <t>01.08.27</t>
  </si>
  <si>
    <t>01.08.28</t>
  </si>
  <si>
    <t>01.08.29</t>
  </si>
  <si>
    <t>01.08.30</t>
  </si>
  <si>
    <t>01.08.31</t>
  </si>
  <si>
    <t>01.08.32</t>
  </si>
  <si>
    <t>01.08.33</t>
  </si>
  <si>
    <t>01.08.34</t>
  </si>
  <si>
    <t>01.08.35</t>
  </si>
  <si>
    <t>01.08.36</t>
  </si>
  <si>
    <t>01.08.37</t>
  </si>
  <si>
    <t xml:space="preserve"> SUBCAPÍTULO 01.09</t>
  </si>
  <si>
    <t>ER6 DEPOSITO ZUMARRAGA</t>
  </si>
  <si>
    <t>01.09.01</t>
  </si>
  <si>
    <t>01.09.02</t>
  </si>
  <si>
    <t>01.09.03</t>
  </si>
  <si>
    <t>01.09.04</t>
  </si>
  <si>
    <t>01.09.05</t>
  </si>
  <si>
    <t>01.09.06</t>
  </si>
  <si>
    <t>01.09.07</t>
  </si>
  <si>
    <t>01.09.08</t>
  </si>
  <si>
    <t>01.09.09</t>
  </si>
  <si>
    <t>01.09.10</t>
  </si>
  <si>
    <t>01.09.11</t>
  </si>
  <si>
    <t>01.09.12</t>
  </si>
  <si>
    <t>01.09.13</t>
  </si>
  <si>
    <t>01.09.14</t>
  </si>
  <si>
    <t>01.09.15</t>
  </si>
  <si>
    <t>01.09.16</t>
  </si>
  <si>
    <t>01.09.17</t>
  </si>
  <si>
    <t>01.09.18</t>
  </si>
  <si>
    <t>01.09.19</t>
  </si>
  <si>
    <t>01.09.20</t>
  </si>
  <si>
    <t>01.09.21</t>
  </si>
  <si>
    <t>01.09.22</t>
  </si>
  <si>
    <t>01.09.23</t>
  </si>
  <si>
    <t>01.09.24</t>
  </si>
  <si>
    <t>01.09.25</t>
  </si>
  <si>
    <t>01.09.26</t>
  </si>
  <si>
    <t>01.09.27</t>
  </si>
  <si>
    <t>01.09.28</t>
  </si>
  <si>
    <t>01.09.29</t>
  </si>
  <si>
    <t>01.09.30</t>
  </si>
  <si>
    <t>01.09.31</t>
  </si>
  <si>
    <t xml:space="preserve"> SUBCAPÍTULO 01.10</t>
  </si>
  <si>
    <t>DEPOSITO ZUMARRAGA ALTO</t>
  </si>
  <si>
    <t>01.10.01</t>
  </si>
  <si>
    <t>01.10.02</t>
  </si>
  <si>
    <t>01.10.03</t>
  </si>
  <si>
    <t>01.10.04</t>
  </si>
  <si>
    <t>01.10.05</t>
  </si>
  <si>
    <t>01.10.06</t>
  </si>
  <si>
    <t>01.10.07</t>
  </si>
  <si>
    <t>01.10.08</t>
  </si>
  <si>
    <t>01.10.09</t>
  </si>
  <si>
    <t>01.10.10</t>
  </si>
  <si>
    <t>01.10.11</t>
  </si>
  <si>
    <t>01.10.12</t>
  </si>
  <si>
    <t>01.10.13</t>
  </si>
  <si>
    <t>01.10.14</t>
  </si>
  <si>
    <t>01.10.15</t>
  </si>
  <si>
    <t>01.10.16</t>
  </si>
  <si>
    <t>01.10.17</t>
  </si>
  <si>
    <t>01.10.18</t>
  </si>
  <si>
    <t>01.10.19</t>
  </si>
  <si>
    <t>01.10.20</t>
  </si>
  <si>
    <t>01.10.21</t>
  </si>
  <si>
    <t>01.10.22</t>
  </si>
  <si>
    <t>01.10.23</t>
  </si>
  <si>
    <t>01.10.24</t>
  </si>
  <si>
    <t>01.10.25</t>
  </si>
  <si>
    <t>01.10.26</t>
  </si>
  <si>
    <t>01.10.27</t>
  </si>
  <si>
    <t>01.10.28</t>
  </si>
  <si>
    <t>01.10.29</t>
  </si>
  <si>
    <t>01.10.30</t>
  </si>
  <si>
    <t>01.10.31</t>
  </si>
  <si>
    <t>01.10.32</t>
  </si>
  <si>
    <t xml:space="preserve"> SUBCAPÍTULO 01.11</t>
  </si>
  <si>
    <t>ER7 BOMBEO EZKIO BAJO</t>
  </si>
  <si>
    <t>01.11.01</t>
  </si>
  <si>
    <t>01.11.02</t>
  </si>
  <si>
    <t>01.11.03</t>
  </si>
  <si>
    <t>01.11.04</t>
  </si>
  <si>
    <t>01.11.05</t>
  </si>
  <si>
    <t>01.11.06</t>
  </si>
  <si>
    <t>01.11.07</t>
  </si>
  <si>
    <t>01.11.08</t>
  </si>
  <si>
    <t>01.11.09</t>
  </si>
  <si>
    <t>01.11.10</t>
  </si>
  <si>
    <t>01.11.11</t>
  </si>
  <si>
    <t>01.11.12</t>
  </si>
  <si>
    <t>01.11.13</t>
  </si>
  <si>
    <t>01.11.14</t>
  </si>
  <si>
    <t>01.11.15</t>
  </si>
  <si>
    <t>01.11.16</t>
  </si>
  <si>
    <t>01.11.17</t>
  </si>
  <si>
    <t>01.11.18</t>
  </si>
  <si>
    <t>01.11.19</t>
  </si>
  <si>
    <t>01.11.20</t>
  </si>
  <si>
    <t>01.11.21</t>
  </si>
  <si>
    <t>01.11.22</t>
  </si>
  <si>
    <t>01.11.23</t>
  </si>
  <si>
    <t>01.11.24</t>
  </si>
  <si>
    <t>01.11.25</t>
  </si>
  <si>
    <t>01.11.26</t>
  </si>
  <si>
    <t>TOTAL  SUBCAPÍTULO 01.10</t>
  </si>
  <si>
    <t xml:space="preserve"> SUBCAPÍTULO 01.12</t>
  </si>
  <si>
    <t>DEPOSITO EZKIO ALTO</t>
  </si>
  <si>
    <t>01.12.01</t>
  </si>
  <si>
    <t>01.12.02</t>
  </si>
  <si>
    <t>01.12.03</t>
  </si>
  <si>
    <t>01.12.04</t>
  </si>
  <si>
    <t>01.12.05</t>
  </si>
  <si>
    <t>01.12.06</t>
  </si>
  <si>
    <t>01.12.07</t>
  </si>
  <si>
    <t>01.12.08</t>
  </si>
  <si>
    <t>01.12.09</t>
  </si>
  <si>
    <t>01.12.10</t>
  </si>
  <si>
    <t>01.12.11</t>
  </si>
  <si>
    <t>01.12.12</t>
  </si>
  <si>
    <t>01.12.13</t>
  </si>
  <si>
    <t>01.12.14</t>
  </si>
  <si>
    <t>01.12.15</t>
  </si>
  <si>
    <t>01.12.16</t>
  </si>
  <si>
    <t>01.12.17</t>
  </si>
  <si>
    <t>01.12.18</t>
  </si>
  <si>
    <t>01.12.19</t>
  </si>
  <si>
    <t>01.12.20</t>
  </si>
  <si>
    <t>01.12.21</t>
  </si>
  <si>
    <t>01.12.22</t>
  </si>
  <si>
    <t>01.12.23</t>
  </si>
  <si>
    <t>01.12.24</t>
  </si>
  <si>
    <t>01.12.25</t>
  </si>
  <si>
    <t>01.12.26</t>
  </si>
  <si>
    <t>01.12.27</t>
  </si>
  <si>
    <t>01.12.28</t>
  </si>
  <si>
    <t>01.12.29</t>
  </si>
  <si>
    <t>01.12.30</t>
  </si>
  <si>
    <t>01.12.31</t>
  </si>
  <si>
    <t>01.12.32</t>
  </si>
  <si>
    <t>01.12.33</t>
  </si>
  <si>
    <t xml:space="preserve"> SUBCAPÍTULO 01.13</t>
  </si>
  <si>
    <t>ER8 BOMBEO ALEGI</t>
  </si>
  <si>
    <t>01.13.01</t>
  </si>
  <si>
    <t>01.13.02</t>
  </si>
  <si>
    <t>01.13.03</t>
  </si>
  <si>
    <t>01.13.04</t>
  </si>
  <si>
    <t>01.13.05</t>
  </si>
  <si>
    <t>01.13.06</t>
  </si>
  <si>
    <t>01.13.07</t>
  </si>
  <si>
    <t>01.13.08</t>
  </si>
  <si>
    <t>01.13.09</t>
  </si>
  <si>
    <t>01.13.10</t>
  </si>
  <si>
    <t>01.13.11</t>
  </si>
  <si>
    <t>01.13.12</t>
  </si>
  <si>
    <t>01.13.13</t>
  </si>
  <si>
    <t>01.13.14</t>
  </si>
  <si>
    <t>01.13.15</t>
  </si>
  <si>
    <t>01.13.16</t>
  </si>
  <si>
    <t>01.13.17</t>
  </si>
  <si>
    <t>01.13.18</t>
  </si>
  <si>
    <t>01.13.19</t>
  </si>
  <si>
    <t>01.13.20</t>
  </si>
  <si>
    <t>01.13.21</t>
  </si>
  <si>
    <t>01.13.22</t>
  </si>
  <si>
    <t>01.13.23</t>
  </si>
  <si>
    <t>01.13.24</t>
  </si>
  <si>
    <t>01.13.25</t>
  </si>
  <si>
    <t>TRFOMUL</t>
  </si>
  <si>
    <t>TRFOMUL_1P</t>
  </si>
  <si>
    <t>01.13.26</t>
  </si>
  <si>
    <t>INST_TRANS</t>
  </si>
  <si>
    <t>01.13.27</t>
  </si>
  <si>
    <t>01.13.28</t>
  </si>
  <si>
    <t>01.13.29</t>
  </si>
  <si>
    <t>01.13.30</t>
  </si>
  <si>
    <t>01.13.31</t>
  </si>
  <si>
    <t>TOTAL  SUBCAPÍTULO 01.12</t>
  </si>
  <si>
    <t xml:space="preserve"> SUBCAPÍTULO 01.14</t>
  </si>
  <si>
    <t>DEPOSITO ITSASO</t>
  </si>
  <si>
    <t>01.14.01</t>
  </si>
  <si>
    <t>01.14.02</t>
  </si>
  <si>
    <t>01.14.03</t>
  </si>
  <si>
    <t>01.14.04</t>
  </si>
  <si>
    <t>01.14.05</t>
  </si>
  <si>
    <t>01.14.06</t>
  </si>
  <si>
    <t>01.14.07</t>
  </si>
  <si>
    <t>01.14.08</t>
  </si>
  <si>
    <t>01.14.09</t>
  </si>
  <si>
    <t>01.14.10</t>
  </si>
  <si>
    <t>01.14.11</t>
  </si>
  <si>
    <t>01.14.12</t>
  </si>
  <si>
    <t>01.14.13</t>
  </si>
  <si>
    <t>01.14.14</t>
  </si>
  <si>
    <t>01.14.15</t>
  </si>
  <si>
    <t>01.14.16</t>
  </si>
  <si>
    <t>01.14.17</t>
  </si>
  <si>
    <t>01.14.18</t>
  </si>
  <si>
    <t>01.14.19</t>
  </si>
  <si>
    <t>01.14.20</t>
  </si>
  <si>
    <t>01.14.21</t>
  </si>
  <si>
    <t>01.14.22</t>
  </si>
  <si>
    <t>01.14.23</t>
  </si>
  <si>
    <t>01.14.24</t>
  </si>
  <si>
    <t>01.14.25</t>
  </si>
  <si>
    <t>01.14.26</t>
  </si>
  <si>
    <t>01.14.27</t>
  </si>
  <si>
    <t>01.14.28</t>
  </si>
  <si>
    <t>01.14.29</t>
  </si>
  <si>
    <t>01.14.30</t>
  </si>
  <si>
    <t>01.14.31</t>
  </si>
  <si>
    <t>01.14.32</t>
  </si>
  <si>
    <t>TOTAL  SUBCAPÍTULO 01.13</t>
  </si>
  <si>
    <t xml:space="preserve"> SUBCAPÍTULO 01.15</t>
  </si>
  <si>
    <t>ER9 BOMBEO AZTIRIA</t>
  </si>
  <si>
    <t>01.15.01</t>
  </si>
  <si>
    <t>01.15.02</t>
  </si>
  <si>
    <t>01.15.03</t>
  </si>
  <si>
    <t>01.15.04</t>
  </si>
  <si>
    <t>01.15.05</t>
  </si>
  <si>
    <t>01.15.06</t>
  </si>
  <si>
    <t>01.15.07</t>
  </si>
  <si>
    <t>01.15.08</t>
  </si>
  <si>
    <t>01.15.09</t>
  </si>
  <si>
    <t>01.15.10</t>
  </si>
  <si>
    <t>01.15.11</t>
  </si>
  <si>
    <t>01.15.12</t>
  </si>
  <si>
    <t>01.15.13</t>
  </si>
  <si>
    <t>01.15.14</t>
  </si>
  <si>
    <t>01.15.15</t>
  </si>
  <si>
    <t>01.15.16</t>
  </si>
  <si>
    <t>01.15.17</t>
  </si>
  <si>
    <t>01.15.18</t>
  </si>
  <si>
    <t>01.15.19</t>
  </si>
  <si>
    <t>01.15.20</t>
  </si>
  <si>
    <t>01.15.21</t>
  </si>
  <si>
    <t>01.15.22</t>
  </si>
  <si>
    <t>01.15.23</t>
  </si>
  <si>
    <t>01.15.24</t>
  </si>
  <si>
    <t>01.15.25</t>
  </si>
  <si>
    <t>01.15.26</t>
  </si>
  <si>
    <t>TOTAL  SUBCAPÍTULO 01.14</t>
  </si>
  <si>
    <t xml:space="preserve"> SUBCAPÍTULO 01.16</t>
  </si>
  <si>
    <t>DEPOSITO AZTIRIA</t>
  </si>
  <si>
    <t>01.16.01</t>
  </si>
  <si>
    <t>01.16.02</t>
  </si>
  <si>
    <t>01.16.03</t>
  </si>
  <si>
    <t>01.16.04</t>
  </si>
  <si>
    <t>01.16.05</t>
  </si>
  <si>
    <t>01.16.06</t>
  </si>
  <si>
    <t>01.16.07</t>
  </si>
  <si>
    <t>01.16.08</t>
  </si>
  <si>
    <t>01.16.09</t>
  </si>
  <si>
    <t>01.16.10</t>
  </si>
  <si>
    <t>01.16.11</t>
  </si>
  <si>
    <t>01.16.12</t>
  </si>
  <si>
    <t>01.16.13</t>
  </si>
  <si>
    <t>01.16.14</t>
  </si>
  <si>
    <t>01.16.15</t>
  </si>
  <si>
    <t>01.16.16</t>
  </si>
  <si>
    <t>01.16.17</t>
  </si>
  <si>
    <t>01.16.18</t>
  </si>
  <si>
    <t>01.16.19</t>
  </si>
  <si>
    <t>01.16.20</t>
  </si>
  <si>
    <t>01.16.21</t>
  </si>
  <si>
    <t>01.16.22</t>
  </si>
  <si>
    <t>01.16.23</t>
  </si>
  <si>
    <t>01.16.24</t>
  </si>
  <si>
    <t>01.16.25</t>
  </si>
  <si>
    <t>01.16.26</t>
  </si>
  <si>
    <t>01.16.27</t>
  </si>
  <si>
    <t>01.16.28</t>
  </si>
  <si>
    <t>01.16.29</t>
  </si>
  <si>
    <t>01.16.30</t>
  </si>
  <si>
    <t>TOTAL  SUBCAPÍTULO 01.15</t>
  </si>
  <si>
    <t xml:space="preserve"> SUBCAPÍTULO 01.17</t>
  </si>
  <si>
    <t>ER10 DEPOSITO URTATZA</t>
  </si>
  <si>
    <t>01.17.01</t>
  </si>
  <si>
    <t>01.17.02</t>
  </si>
  <si>
    <t>01.17.03</t>
  </si>
  <si>
    <t>01.17.04</t>
  </si>
  <si>
    <t>01.17.05</t>
  </si>
  <si>
    <t>01.17.06</t>
  </si>
  <si>
    <t>01.17.07</t>
  </si>
  <si>
    <t>01.17.08</t>
  </si>
  <si>
    <t>01.17.09</t>
  </si>
  <si>
    <t>01.17.10</t>
  </si>
  <si>
    <t>01.17.11</t>
  </si>
  <si>
    <t>01.17.12</t>
  </si>
  <si>
    <t>01.17.13</t>
  </si>
  <si>
    <t>01.17.14</t>
  </si>
  <si>
    <t>01.17.15</t>
  </si>
  <si>
    <t>01.17.16</t>
  </si>
  <si>
    <t>01.17.17</t>
  </si>
  <si>
    <t>01.17.18</t>
  </si>
  <si>
    <t>01.17.19</t>
  </si>
  <si>
    <t>01.17.20</t>
  </si>
  <si>
    <t>01.17.21</t>
  </si>
  <si>
    <t>01.17.22</t>
  </si>
  <si>
    <t>01.17.23</t>
  </si>
  <si>
    <t>01.17.24</t>
  </si>
  <si>
    <t>01.17.25</t>
  </si>
  <si>
    <t>01.17.26</t>
  </si>
  <si>
    <t>01.17.27</t>
  </si>
  <si>
    <t>01.17.28</t>
  </si>
  <si>
    <t>01.17.29</t>
  </si>
  <si>
    <t>01.17.30</t>
  </si>
  <si>
    <t>01.17.31</t>
  </si>
  <si>
    <t>01.17.32</t>
  </si>
  <si>
    <t>TOTAL  SUBCAPÍTULO 01.16</t>
  </si>
  <si>
    <t xml:space="preserve"> SUBCAPÍTULO 01.18</t>
  </si>
  <si>
    <t>DERIVACION URTATZA</t>
  </si>
  <si>
    <t>01.18.01</t>
  </si>
  <si>
    <t>01.18.02</t>
  </si>
  <si>
    <t>01.18.03</t>
  </si>
  <si>
    <t>01.18.04</t>
  </si>
  <si>
    <t>01.18.05</t>
  </si>
  <si>
    <t>01.18.06</t>
  </si>
  <si>
    <t>01.18.07</t>
  </si>
  <si>
    <t>01.18.08</t>
  </si>
  <si>
    <t>01.18.09</t>
  </si>
  <si>
    <t>01.18.10</t>
  </si>
  <si>
    <t>01.18.11</t>
  </si>
  <si>
    <t>01.18.12</t>
  </si>
  <si>
    <t>01.18.13</t>
  </si>
  <si>
    <t>01.18.14</t>
  </si>
  <si>
    <t>01.18.15</t>
  </si>
  <si>
    <t>01.18.16</t>
  </si>
  <si>
    <t>01.18.17</t>
  </si>
  <si>
    <t>01.18.18</t>
  </si>
  <si>
    <t>01.18.19</t>
  </si>
  <si>
    <t>01.18.20</t>
  </si>
  <si>
    <t>01.18.21</t>
  </si>
  <si>
    <t>01.18.22</t>
  </si>
  <si>
    <t>TOTAL  SUBCAPÍTULO 01.17</t>
  </si>
  <si>
    <t xml:space="preserve">CAP.02       </t>
  </si>
  <si>
    <t>SUMINISTRO DE MATERIAL SOLUCIÓN DE CONTROL PARA LA ETAP BARRENDIOLA</t>
  </si>
  <si>
    <t xml:space="preserve"> SUBCAPÍTULO 02.01</t>
  </si>
  <si>
    <t>ETAP BARRENDIOLA FE (CONCENTRADOR DE COMUNICACIONES)</t>
  </si>
  <si>
    <t>02.01.01</t>
  </si>
  <si>
    <t>PERFIL_XL</t>
  </si>
  <si>
    <t>02.01.02</t>
  </si>
  <si>
    <t>02.01.03</t>
  </si>
  <si>
    <t>02.01.04</t>
  </si>
  <si>
    <t>02.01.05</t>
  </si>
  <si>
    <t>02.01.06</t>
  </si>
  <si>
    <t>02.01.07</t>
  </si>
  <si>
    <t xml:space="preserve">OPC UA </t>
  </si>
  <si>
    <t>OPCUA</t>
  </si>
  <si>
    <t>02.01.08</t>
  </si>
  <si>
    <t>02.01.09</t>
  </si>
  <si>
    <t>02.01.10</t>
  </si>
  <si>
    <t>02.01.11</t>
  </si>
  <si>
    <t>02.01.12</t>
  </si>
  <si>
    <t>02.01.13</t>
  </si>
  <si>
    <t>02.01.14</t>
  </si>
  <si>
    <t>02.01.15</t>
  </si>
  <si>
    <t>SIG</t>
  </si>
  <si>
    <t>02.01.16</t>
  </si>
  <si>
    <t>02.01.17</t>
  </si>
  <si>
    <t>A305</t>
  </si>
  <si>
    <t>02.01.18</t>
  </si>
  <si>
    <t>PLANIFICAC_S1500</t>
  </si>
  <si>
    <t>02.01.19</t>
  </si>
  <si>
    <t>ING_ETAP</t>
  </si>
  <si>
    <t>02.01.20</t>
  </si>
  <si>
    <t>PROG_PLC_FE</t>
  </si>
  <si>
    <t>02.01.21</t>
  </si>
  <si>
    <t>02.01.22</t>
  </si>
  <si>
    <t>02.01.23</t>
  </si>
  <si>
    <t>02.01.24</t>
  </si>
  <si>
    <t>02.01.25</t>
  </si>
  <si>
    <t>02.01.26</t>
  </si>
  <si>
    <t>02.01.27</t>
  </si>
  <si>
    <t>02.01.28</t>
  </si>
  <si>
    <t>PROGRAMA REDUNDANCIA REMOTAS</t>
  </si>
  <si>
    <t>PROG_FE_RED_1</t>
  </si>
  <si>
    <t>02.01.29</t>
  </si>
  <si>
    <t>PROG_FE_RED_2</t>
  </si>
  <si>
    <t>02.01.30</t>
  </si>
  <si>
    <t>PME FE</t>
  </si>
  <si>
    <t>PME_FE</t>
  </si>
  <si>
    <t xml:space="preserve"> SUBCAPÍTULO 02.02</t>
  </si>
  <si>
    <t>ETAP BARRENDIOLA CONTROL (CONCENTRADOR DEL CONTROL DE LA ETAP)</t>
  </si>
  <si>
    <t>02.02.01</t>
  </si>
  <si>
    <t>02.02.02</t>
  </si>
  <si>
    <t>02.02.03</t>
  </si>
  <si>
    <t>02.02.04</t>
  </si>
  <si>
    <t>02.02.05</t>
  </si>
  <si>
    <t>02.02.06</t>
  </si>
  <si>
    <t>02.02.07</t>
  </si>
  <si>
    <t>02.02.08</t>
  </si>
  <si>
    <t>AMPLIACION</t>
  </si>
  <si>
    <t>TAMPL</t>
  </si>
  <si>
    <t>02.02.09</t>
  </si>
  <si>
    <t>02.02.10</t>
  </si>
  <si>
    <t>02.02.11</t>
  </si>
  <si>
    <t>02.02.12</t>
  </si>
  <si>
    <t>02.02.13</t>
  </si>
  <si>
    <t>02.02.14</t>
  </si>
  <si>
    <t>02.02.15</t>
  </si>
  <si>
    <t>02.02.16</t>
  </si>
  <si>
    <t>02.02.17</t>
  </si>
  <si>
    <t>02.02.18</t>
  </si>
  <si>
    <t>02.02.19</t>
  </si>
  <si>
    <t>02.02.20</t>
  </si>
  <si>
    <t>02.02.21</t>
  </si>
  <si>
    <t>02.02.22</t>
  </si>
  <si>
    <t>02.02.23</t>
  </si>
  <si>
    <t>PROG_PLC_CONTROL</t>
  </si>
  <si>
    <t>02.02.24</t>
  </si>
  <si>
    <t>PME ETAO</t>
  </si>
  <si>
    <t>PME_ETAP</t>
  </si>
  <si>
    <t>02.02.25</t>
  </si>
  <si>
    <t>SCADA_ETAP</t>
  </si>
  <si>
    <t xml:space="preserve"> SUBCAPÍTULO 02.03</t>
  </si>
  <si>
    <t>MONITOR 75” sustitución de sinóptico</t>
  </si>
  <si>
    <t>02.03.01</t>
  </si>
  <si>
    <t>MONITOR</t>
  </si>
  <si>
    <t>MONITOR_SINOPTICO</t>
  </si>
  <si>
    <t>02.03.02</t>
  </si>
  <si>
    <t>SOPORTE MONITOR</t>
  </si>
  <si>
    <t>MONTAJE_SOP_MON</t>
  </si>
  <si>
    <t>02.03.03</t>
  </si>
  <si>
    <t>INSTALACION</t>
  </si>
  <si>
    <t>INST_MON</t>
  </si>
  <si>
    <t>TOTAL  SUBCAPÍTULO 02.03</t>
  </si>
  <si>
    <t xml:space="preserve">TOTAL CAP.02       </t>
  </si>
  <si>
    <t xml:space="preserve">CAP.03       </t>
  </si>
  <si>
    <t>SOLUCIÓN DE COMUNICACIÓN FIBRA OPTICA EN PRESA BARRENDIOLA</t>
  </si>
  <si>
    <t xml:space="preserve"> SUBCAPÍTULO 03.01</t>
  </si>
  <si>
    <t>CAMARA DE LLAVES</t>
  </si>
  <si>
    <t>03.01.01</t>
  </si>
  <si>
    <t>CABLE F.O. PRESA - CAMARA DE LLAVES</t>
  </si>
  <si>
    <t>INST_FO_PRESA</t>
  </si>
  <si>
    <t>INSTALACIÓN TIRADA DE CABLE FIBRA OPTICA EN LA PRESA - CAMARA DE LLAVES</t>
  </si>
  <si>
    <t>03.01.02</t>
  </si>
  <si>
    <t>CABLE F.O. CAMARA DE LLAVES  - GALERIA DRECHA</t>
  </si>
  <si>
    <t>INSTALACIÓN TIRADA DE CABLE FIBRA OPTICA ENTRE CAMARA DE LLAVES - GALERIA DERECHA</t>
  </si>
  <si>
    <t>03.01.03</t>
  </si>
  <si>
    <t>03.01.04</t>
  </si>
  <si>
    <t>03.01.05</t>
  </si>
  <si>
    <t>TRFOMUL_6P</t>
  </si>
  <si>
    <t>03.01.06</t>
  </si>
  <si>
    <t>TOTAL  SUBCAPÍTULO 03.01</t>
  </si>
  <si>
    <t>TOTAL CAP.03</t>
  </si>
  <si>
    <t>CAP.04</t>
  </si>
  <si>
    <t>ESTUDIO LÍNEA DEDICADA Y CONFIG.&amp;PRUEBAS SHDSL&amp;4G BARRENDIOLA  - TOTAL INGENIERIA</t>
  </si>
  <si>
    <t xml:space="preserve">04.01 </t>
  </si>
  <si>
    <t>ESTUDIO CABLE TELEMANDO</t>
  </si>
  <si>
    <t>ESTUDIO_CABLE</t>
  </si>
  <si>
    <t>04.02</t>
  </si>
  <si>
    <t>PROGRAMACION_SHDSL</t>
  </si>
  <si>
    <t>PROG_SHDSL</t>
  </si>
  <si>
    <t>04.03</t>
  </si>
  <si>
    <t>PROGRAMACION ANILLO RSTP</t>
  </si>
  <si>
    <t>PROG_RSTP</t>
  </si>
  <si>
    <t>04.04</t>
  </si>
  <si>
    <t>PROGRAMACION COMUNICACIÓN 4G</t>
  </si>
  <si>
    <t>PROG_R_FO</t>
  </si>
  <si>
    <t>PROG_R_SHDSL</t>
  </si>
  <si>
    <t>TOTAL CAP.04</t>
  </si>
  <si>
    <t>CAP.05</t>
  </si>
  <si>
    <t>NUEVA INTEGRACIÓN DE INTEGRACIÓN DE LA INFORMACIÓN PARA ANALÍTICA</t>
  </si>
  <si>
    <t xml:space="preserve"> SUBCAPÍTULO 05.01</t>
  </si>
  <si>
    <t>GENERALES (ANALÍTICA DE DATOS)</t>
  </si>
  <si>
    <t>05.01.01</t>
  </si>
  <si>
    <t>AVEVA_EDGE_DES</t>
  </si>
  <si>
    <t>SOFTWARE</t>
  </si>
  <si>
    <t>05.01.02</t>
  </si>
  <si>
    <t>NOM_HIST_AUTO</t>
  </si>
  <si>
    <t>05.01.03</t>
  </si>
  <si>
    <t>DES_APP_AVEVA</t>
  </si>
  <si>
    <t xml:space="preserve"> SUBCAPÍTULO 05.02</t>
  </si>
  <si>
    <t>Labores a realizar en local en Barrendiola (ANALÍTICA DE DATOS)</t>
  </si>
  <si>
    <t>05.02.01</t>
  </si>
  <si>
    <t>AVEVA_EDGE_RUN</t>
  </si>
  <si>
    <t>05.02.02</t>
  </si>
  <si>
    <t>PROG_VAR_OPCUA</t>
  </si>
  <si>
    <t>05.02.03</t>
  </si>
  <si>
    <t>INST_LOCAL_UA</t>
  </si>
  <si>
    <t>05.02.04</t>
  </si>
  <si>
    <t>PEM_LOCAL_UA</t>
  </si>
  <si>
    <t xml:space="preserve"> SUBCAPÍTULO 05.03</t>
  </si>
  <si>
    <t>Labores a realizar en local en Arriaran (ANALÍTICA DE DATOS)</t>
  </si>
  <si>
    <t>05.03.01</t>
  </si>
  <si>
    <t>05.03.02</t>
  </si>
  <si>
    <t>05.03.03</t>
  </si>
  <si>
    <t>05.03.04</t>
  </si>
  <si>
    <t xml:space="preserve"> SUBCAPÍTULO 05.04</t>
  </si>
  <si>
    <t>Labores a realizar en servidor global GUK (ANALÍTICA DE DATOS)</t>
  </si>
  <si>
    <t>05.04.01</t>
  </si>
  <si>
    <t>SQL_SRV_STANDARD</t>
  </si>
  <si>
    <t>05.04.02</t>
  </si>
  <si>
    <t>PROG_SQL</t>
  </si>
  <si>
    <t>05.04.03</t>
  </si>
  <si>
    <t>PEM_GLOBAL_SQL</t>
  </si>
  <si>
    <t>INST_GLOBAL</t>
  </si>
  <si>
    <t>TOTAL CAP.05</t>
  </si>
  <si>
    <t>CAP.06</t>
  </si>
  <si>
    <t>SEGURIDAD Y SALUD</t>
  </si>
  <si>
    <t xml:space="preserve">06.01 </t>
  </si>
  <si>
    <t>PARTIDA DE ABONO INTEGRO DE SEGURIDAD Y SALUD</t>
  </si>
  <si>
    <t xml:space="preserve">	EN ESTA PARTIDA ESTAN CONTEMPLANDAS ESTAS PROTECCIONES INDIVIDUALES
E.P.I PARA LA CABEZA (CASCOS, GAFAS CONTRA IMPACTOS, JUEGO DE TAPONES ANTIRUIDO)
E.P.I PARA LAS MANOS (PAR DE GUANTES AISLANTES PARA ELECTRICISTAS, PAR DE GUANTES USO GENERAL)
E.P.I. PARA LOS PIES (PAR DE BOTAS DE SEGUIRDAD, PAR DE BOTA AISLANTES PARA ELECTRICISTA)</t>
  </si>
  <si>
    <t>TOTAL CAP.06</t>
  </si>
  <si>
    <t>CAP.07</t>
  </si>
  <si>
    <t>GESTION DE RESIDUOS</t>
  </si>
  <si>
    <t xml:space="preserve">07.01 </t>
  </si>
  <si>
    <t>RESIDUOS</t>
  </si>
  <si>
    <t>PARTIDA DE ABONO INTEGRO DE GESTION DE RESIDUOS</t>
  </si>
  <si>
    <t>TOTAL CAP.07</t>
  </si>
  <si>
    <t xml:space="preserve">HARDWARE </t>
  </si>
  <si>
    <t>DESCRIPCION</t>
  </si>
  <si>
    <t>REFERENCIA</t>
  </si>
  <si>
    <t>Presupuesto
 unitario</t>
  </si>
  <si>
    <t>SUMINISTRO DE CPU REMOTAS</t>
  </si>
  <si>
    <t>SIMATIC S7-1200 - CPU 1214C //6ES7214-1AG40-0XB0</t>
  </si>
  <si>
    <t>SUMINISTRO DE FUENTE ALIMENTACIÓN CPU REMOTAS</t>
  </si>
  <si>
    <t>SITOP PSU6200 24 V/10 A // 6EP3334-7SB00-3AX0    </t>
  </si>
  <si>
    <t>TARJETA DE MEMORIA S7-1200</t>
  </si>
  <si>
    <t>SIMATIC S7 Memory Card, 24 MB //6ES7954-8LF03-0AA0</t>
  </si>
  <si>
    <t>SUMINISTRO MÓDULO DE 16 ENTRADAS DIGITALES</t>
  </si>
  <si>
    <t xml:space="preserve">SIMATIC S7-1200,  Módulo SM1221 //6ES7221-1BH32-0XB0 </t>
  </si>
  <si>
    <t>SUMINISTRO MÓDULO DE 16 SALIDAS DIGITALES</t>
  </si>
  <si>
    <t xml:space="preserve">SIMATIC S7-1200,  Módulo SM1222 //6ES7222-1BH32-0XB0 </t>
  </si>
  <si>
    <t>SUMINISTRO MÓDULO DE 8 ENTRADAS ANALÓGICAS</t>
  </si>
  <si>
    <t xml:space="preserve">SIMATIC S7-1200,  Módulo de Entradas analógicas, SM 1231, 8 EA //6ES7231-4HF32-0XB0 </t>
  </si>
  <si>
    <t>SUMINISTRO MÓDULO DE 2 SALIDAS ANALÓGICAS</t>
  </si>
  <si>
    <t xml:space="preserve">SIMATIC S7-1200,  Módulo de Salidas analógicas, SM 1232, 2 AO //6ES7232-4HB32-0XB0 </t>
  </si>
  <si>
    <t>TARJETA COMUNICACIONES  S7-1200</t>
  </si>
  <si>
    <t>SIMATIC S7-1200  Modulo Ethernet CP 1243-1  //6GK7243-1BX30-0XE0</t>
  </si>
  <si>
    <t>TARJETA COMUNICACIÓN MODBUS CAUDALIMETRO</t>
  </si>
  <si>
    <t>TARJETA MODBUS RTU/RS485 para caudalímetro MAG 6000 // FDK:085U0234</t>
  </si>
  <si>
    <t>TARJETA COMUNICACIÓN RS485 S7-1200</t>
  </si>
  <si>
    <t>Modul de comunic. CM 1241, RS422/485  //6ES7241-1CH32-0XB0</t>
  </si>
  <si>
    <t>SUMINISTRO DE ET200MP</t>
  </si>
  <si>
    <t>SIMATIC ET 200MP, IM 155-5 PN ST // 6ES7155-5AA01-0AB0</t>
  </si>
  <si>
    <t>SUMINISTRO MÓDULO DE 32 ENTRADAS DIGITALES</t>
  </si>
  <si>
    <t>S7-1500, DI 32x24VDC HF// 6ES7521-1BL00-0AB0</t>
  </si>
  <si>
    <t>SUMINISTRO ENCHUFE FRONTAL</t>
  </si>
  <si>
    <t>Enchufe frontal Push-in (mód. de 35mm) // 6ES7592-1BM00-0XB0</t>
  </si>
  <si>
    <t>SIMATIC S7-1500, módulo de entradas analógicas AI 8xU/I HF //6ES7531-7PF00-0AB0</t>
  </si>
  <si>
    <t>SUMINISTRO MÓDULO DE 4 SALIDAS ANALÓGICAS</t>
  </si>
  <si>
    <t>SIMATIC S7-1500, módulo de salidas analógicas AQ 2 x U/I ST//  6ES7532-5NB00-0AB0</t>
  </si>
  <si>
    <t>HMI LOCAL 7" ETHERNET Y COLOR</t>
  </si>
  <si>
    <t>SIMATIC HMI, KTP700 Basic, Basic Panel, Manejo con teclado/táctil, pantalla TFT de 7", 65536 colores // 6ES7531-7NF00-0AB0</t>
  </si>
  <si>
    <t>HMI LOCAL 4" ETHERNET Y COLOR</t>
  </si>
  <si>
    <t>SIMATIC HMI, KTP400 Basic, Basic Panel, Manejo con teclado/táctil, pantalla TFT de 4", 65536 colores // 6AV2123-2GB03-0AX0</t>
  </si>
  <si>
    <t xml:space="preserve">SWITCH SHDSL 1 PUERTO </t>
  </si>
  <si>
    <t>SWITCH XSLAN+1400 O SIMILAR</t>
  </si>
  <si>
    <t>SWITCH SHDSL 2 PUERTOS + BYPASS</t>
  </si>
  <si>
    <t>SWITCH XSLAN+BP2400 O SIMILAR</t>
  </si>
  <si>
    <t>SWITCH SHDSL 4 PUERTOS + BYPASS</t>
  </si>
  <si>
    <t>SWITCH XSLAN+BP4200 O SIMILAR</t>
  </si>
  <si>
    <t>ROUTER VPN 4G</t>
  </si>
  <si>
    <t>ROUTER IPL-C-100-LW O SIMILAR</t>
  </si>
  <si>
    <t>ROUTER CONCENTRADOR VPN 4G</t>
  </si>
  <si>
    <t>ROUTER SIG-EC-400-LW O SIMILAR</t>
  </si>
  <si>
    <t>ANTENA 4G CON CABLE DE 5 METROS Y KIT MONTAJE ANTENA</t>
  </si>
  <si>
    <t>ANTENA 310 + KIT MONTAJE ANTENA 310</t>
  </si>
  <si>
    <t>ANTENA 4G NORMAL</t>
  </si>
  <si>
    <t>ANTENA 305</t>
  </si>
  <si>
    <t>DESCARGADOR DE SOBRETENSIONES LÍNEA SHDSL</t>
  </si>
  <si>
    <t>Equipo DT-TELE-SHDSL de Phoenix Contact con 2 puertos para conexión SHDSL</t>
  </si>
  <si>
    <t>SUMINISTRO CONVERSOR ETHERNET Y FIBRA OPTICA MULTIMODO 1P</t>
  </si>
  <si>
    <t xml:space="preserve">Transceiver 1 x 10/100Base-TX, 1 x 100Base-FX, MM-SC // SPIDER-SL-20-01T1M29999SY9HHHH </t>
  </si>
  <si>
    <t>SUMINISTRO CONVERSOR ETHERNET Y FIBRA OPTICA MULTIMODO 6P X2FO</t>
  </si>
  <si>
    <t>Modicon Unmanaged Switch - 6 ports for copper + 2 ports for fiber optic - multi mode // MCSESU083F2CU0</t>
  </si>
  <si>
    <t>TRFOMON_1P</t>
  </si>
  <si>
    <t>SUMINISTRO CONVERSOR ETHERNET Y FIBRA OPTICA MONOMODO</t>
  </si>
  <si>
    <t>Transceiver 1 x 10/100Base-TX, 1 x 100Base-FX, SM-SC // SPIDER-SL-20-01T1S29999SY9HHHH</t>
  </si>
  <si>
    <t>SUMINISTRO SWITCH 5P</t>
  </si>
  <si>
    <t>SwitchNOGest_5x100TXRJ45 / MCSESU053FN0</t>
  </si>
  <si>
    <t>SUMINISTRO DE CPU CONCENTRADOR</t>
  </si>
  <si>
    <t>CPU 1515-2 PN, 1MB Prog., 4,5MB Data // 6ES7515-2AN03-0AB0</t>
  </si>
  <si>
    <t>BAS1500</t>
  </si>
  <si>
    <t>PERFIL PLC</t>
  </si>
  <si>
    <t>S7-1500 Perfil 160 mm // 6ES7590-1AB60-0AA0</t>
  </si>
  <si>
    <t xml:space="preserve">CARRIL DIN </t>
  </si>
  <si>
    <t>CARRIL DIN PARA REMOTA S7-1200</t>
  </si>
  <si>
    <t>PERFIL</t>
  </si>
  <si>
    <t>PERFIL 1500 160 mm</t>
  </si>
  <si>
    <t>S7-1500 PERFIL 160 MM // 6ES7590-1AB60-0AA0</t>
  </si>
  <si>
    <t>PERFIL 1500 480 mm</t>
  </si>
  <si>
    <t>S7-1500 PERFIL 480 MM // 6ES7590-1AE80-0AA0</t>
  </si>
  <si>
    <t>PERFIL_L</t>
  </si>
  <si>
    <t>PERFIL 1500 530 mm</t>
  </si>
  <si>
    <t>S7-1500 PERFIL 530 MM // 6ES7590-1AF30-0AA0</t>
  </si>
  <si>
    <t>PERFIL 1500 830 mm</t>
  </si>
  <si>
    <t>S7-1500 PERFIL 830 MM // 6ES7590-1AJ30-0AA0</t>
  </si>
  <si>
    <t>SIMATIC ET 200MP</t>
  </si>
  <si>
    <t>ET 200MP, IM 155-5 PN ST // 6ES7155-5AA01-0AB0</t>
  </si>
  <si>
    <t>OPC UA SERVER</t>
  </si>
  <si>
    <t xml:space="preserve">SIMATIC OPC UA S7-1500 Medium DL //6ES7954-8LF03-0AA0 </t>
  </si>
  <si>
    <t>TARJETA DE MEMORIA S7-1500</t>
  </si>
  <si>
    <t>SIMATIC S7 Memory Card, 256 MB //6ES7954-8LL04-0AA0</t>
  </si>
  <si>
    <t>SUMINISTRO DE FUENTE ALIMENTACIÓN CPU 1500</t>
  </si>
  <si>
    <t>SITOP PSU6200 24 V/10 A //6EP3334-7SB00-3AX0  </t>
  </si>
  <si>
    <t>SIMATIC S7-1500,  Módulo de 32 Entradas Digitales // 6ES7521-1BL00-0AB0</t>
  </si>
  <si>
    <t>SUMINISTRO MÓDULO DE 32 SALIDAS DIGITALES</t>
  </si>
  <si>
    <t>SIMATIC S7-1500,  Módulo de 32 Salidas Digitales //  6ES7522-1BL01-0AB0</t>
  </si>
  <si>
    <t>SIMATIC S7-1500,  Módulo de Entradas analógicas AI 8 X U/R/RTD/TC HF // 6ES7531-7PF00-0AB0</t>
  </si>
  <si>
    <t>SIMATIC S7-1500,  Módulo de Salidas analógicas  AQ 4xU/I HF//  6ES7532-5ND00-0AB0</t>
  </si>
  <si>
    <t>TCOM1500</t>
  </si>
  <si>
    <t>TARJETA COMUNICACIONES  S7-1500</t>
  </si>
  <si>
    <t>SIMATIC S7-1500  Modulo Ethernet CM1542-1 //6GK7542-1AX00-0XE0</t>
  </si>
  <si>
    <t xml:space="preserve">INSTALACION CARRIL DIN </t>
  </si>
  <si>
    <t>SUSTITUCIÓN DE PERFIL SOPORTE DE PLC EXISTENTE POR NUEVO PERFIL DE PLC DEFINIDO, DENTRO DEL ARMARIO ELÉCTRICO ACTUAL.</t>
  </si>
  <si>
    <t>INSTALACION CPU</t>
  </si>
  <si>
    <t>SUSTITUCIÓN DE CPU DE PLC EXISTENTE POR NUEVA CPU DE PLC DEFINIDA</t>
  </si>
  <si>
    <t>INSTALACION ED</t>
  </si>
  <si>
    <t>SUSTITUCIÓN DE MÓDULO DE E/S DIGITALES DE PLC EXISTENTE POR NUEVO MÓDULO DE PLC DEFINIDO. ENTRADA DIGITAL 16</t>
  </si>
  <si>
    <t>INSTALACION SD</t>
  </si>
  <si>
    <t>SUSTITUCIÓN DE MÓDULO DE E/S DIGITALES DE PLC EXISTENTE POR NUEVO MÓDULO DE PLC DEFINIDO. SALIDA DIGITAL 16</t>
  </si>
  <si>
    <t>INSTALACION EA</t>
  </si>
  <si>
    <t>SUSTITUCIÓN DE MÓDULO DE E/S ANALÓGICAS DE PLC EXISTENTE POR NUEVO MÓDULO DE PLC DEFINIDO. ENTRADA ANALÓGICAS 8</t>
  </si>
  <si>
    <t>RETIRADA CABLE CAUDAL SEÑAL ANALOGICA</t>
  </si>
  <si>
    <t>RETIRADA DEL CABLE ANALOGICO DEL CAUDALIMETRO POR LA COMUNICACIÓN ACTUAL MODBUS</t>
  </si>
  <si>
    <t>INSTALACION SA</t>
  </si>
  <si>
    <t>SUSTITUCIÓN DE MÓDULO DE E/S ANALÓGICAS DE PLC EXISTENTE POR NUEVO MÓDULO DE PLC DEFINIDO. SALIDAS ANALÓGICAS 2</t>
  </si>
  <si>
    <t>INSTALACION COM ADICIONAL</t>
  </si>
  <si>
    <t xml:space="preserve">INSTALACION TARJETA COMUNICACIONES ADICIONAL </t>
  </si>
  <si>
    <t>INSTALACION CABLEADO MODBUS CAUDALIMETRO</t>
  </si>
  <si>
    <t>INSTALACIÓN DEL CABLEADO MODUS PARA CADA CAUDALIMETRO CON COMUNICACIÓN MODBUS</t>
  </si>
  <si>
    <t>INSTALACION TARJETA MODBUS CAUDALIMETRO</t>
  </si>
  <si>
    <t>INSTALACIÓN DE LA TARJETA DE MODBUS EN EL CAUDALIMETRO</t>
  </si>
  <si>
    <t>INSTALACION SWITCH SHDSL</t>
  </si>
  <si>
    <t>INSTALACIÓN DE ROUTER</t>
  </si>
  <si>
    <t>INSTALACION SWITCH</t>
  </si>
  <si>
    <t>INSTALACIÓN DE SWITCH</t>
  </si>
  <si>
    <t>INSTALACION DESCARGADOR</t>
  </si>
  <si>
    <t>INSTALACIÓN DE PROTECCIÓN CONTRA SOBRETENSIONES</t>
  </si>
  <si>
    <t>INSTALACION HMI</t>
  </si>
  <si>
    <t>INSTALACIÓN DE PANTALLA HMI</t>
  </si>
  <si>
    <t>INSTALACION ROUTER 4G</t>
  </si>
  <si>
    <t>INSTALACIÓN DE ROUTER 4G</t>
  </si>
  <si>
    <t>INSTALACION ANTENA EXTERIOR</t>
  </si>
  <si>
    <t>INSTALACIÓN DE ANTENA EXTERIOR + KIT</t>
  </si>
  <si>
    <t>INSTALACION TRANSCEIVER</t>
  </si>
  <si>
    <t>INSTALACIÓN DE TRANSCEIVER ETHERNET - FIBRA OPTICA</t>
  </si>
  <si>
    <t>INSTALACION FO PRESA</t>
  </si>
  <si>
    <t>INSTALACIÓN TIRADA DE CABLE FIBRA OPTICA EN LA PRESA</t>
  </si>
  <si>
    <t>PLANIFICACIÓN DE LOS TRABAJOS Y DESCARGA EN LOCAL DEL PROGRAMA DEL PLC</t>
  </si>
  <si>
    <t>INGENIERIA + ESQUEMAS</t>
  </si>
  <si>
    <t>INGENIERÍA DE ACTUALIZACIÓN DE ESQUEMAS ELÉCTRICOS. INCLUYE LA REVISIÓN LOCAL DE LOS CUADROS Y ELEMENTOS DE CONTROL, ASÍ COMO LA COMPROBACIÓN DE LAS SEÑALES DE CONTROL.</t>
  </si>
  <si>
    <t>REVISION PROGRAMA PLC</t>
  </si>
  <si>
    <t>REVISIÓN DEL PROGRAMA DE CONTROL Y DEFINICIÓN DE LA FUNCIONALIDAD DEL MISMO, DE ACUERDO A LA DIRECCIÓN  CAG</t>
  </si>
  <si>
    <t>PROGRAMA PLC NUEVO</t>
  </si>
  <si>
    <t>MIGRACION DEL PROGRAMA ACTUAL A LA NUEVA PLATAFORMA DE PROGRAMACION</t>
  </si>
  <si>
    <t xml:space="preserve">PROGRAMACION DE LA NUEVA PANTALLA HMI </t>
  </si>
  <si>
    <t>PEM REMOTA</t>
  </si>
  <si>
    <t>PUESTA EN MARCHA DEL PROGRAMA DE CONTROL LOCAL</t>
  </si>
  <si>
    <t>REVISION SCADA</t>
  </si>
  <si>
    <t>REVISIÓN DEL PROGRAMA DE SUPERVISIÓN SCADA</t>
  </si>
  <si>
    <t xml:space="preserve">PLANIFICACION </t>
  </si>
  <si>
    <t>PROGRAMA PLC FE</t>
  </si>
  <si>
    <t>CONFIGURACIÓN, PARAMETRIZACIÓN Y PUESTA EN MARCHA DE COMUNICACIONES ENTRE EL FRONT END DEL PUESTO DE CONTROL CENTRAL (PCC) Y EL PLC, INCLUYENDO PRUEBAS EN TALLER Y EMPLAZAMIENTO</t>
  </si>
  <si>
    <t>PROGRAMA REMOTAS REDUNDANCIA COM FIBRA OPTICA</t>
  </si>
  <si>
    <t>PROGRAMACION DE LAS REMOTAS  FIBRA  CON REDUNDACIA DE COMUNICACIONES EN EL FRONT END DE COMUNICACIONES</t>
  </si>
  <si>
    <t>PROGRAMA REMOTAS REDUNDANCIA COM SHDSL</t>
  </si>
  <si>
    <t>PROGRAMACION DE LAS REMOTAS SHDSL CON REDUNDACIA DE COMUNICACIONES EN EL FRONT END DE COMUNICACIONES</t>
  </si>
  <si>
    <t>PRGRAMA MODBUS REMOTA 1200</t>
  </si>
  <si>
    <t>PROGRAMACION COMUNICACIÓN MODBUS CON OS CAUDALIMETROS</t>
  </si>
  <si>
    <t>PUESTA EN MARCHA DE LA REMOTA COMPROBACION CORRECTA COMUNICACIÓN CON EL FRONT END Y EL SCADA</t>
  </si>
  <si>
    <t>PROGRAMA PLC CONTROL ETAP</t>
  </si>
  <si>
    <t>PEM ETAP</t>
  </si>
  <si>
    <t>PUESTA EN MARCHA DE LA ETAP  COMPROBACION CORRECTA FUNCIONAMIENTO DE LA ETAP</t>
  </si>
  <si>
    <t>REVISION SCADA TRAS MIGRACION</t>
  </si>
  <si>
    <t>REVISIÓN DEL PROGRAMA DE SUPERVISIÓN SCADA DE LA ETAP TRAS LA MIGRACION DEL PLC</t>
  </si>
  <si>
    <t>ESTUDIO Y ADECUACIÓN DE LOS CABLES DE COMUNICACIONES</t>
  </si>
  <si>
    <t>ANÁLISIS GENERAL DE LA SOLUCIÓN DE COMUNICACIONES LÍNEA DE DEDICADA Y PROPUESTA DE SOLUCIÓN DEFINITIVA. ANÁLISIS DE CARACTERÍSTICAS DEL CABLE SEGÚN PPT DE LOS 13 SEGMENTOS DE TELEMANDO</t>
  </si>
  <si>
    <t>CONFIGURACIÓN &amp; PRUEBAS OFFLINE SWITCHES SHDSL</t>
  </si>
  <si>
    <t>PROGRAMACIÓN DE LOS ROUTERS SHDSL EN FUNCIÓN DEL RESULTADO DEL ANALISIS DEL CABLE DE COMUNICACIONES</t>
  </si>
  <si>
    <t>CONFIGURACIÓN &amp; PRUEBAS OFFLINE ROUTERS 4G  RSTP</t>
  </si>
  <si>
    <t>PROGRAMACIÓN DE LOS ROUTERS 4G PARA LOS EQUIPOS DEL ANILLOS RSTP</t>
  </si>
  <si>
    <t>CONFIGURACIÓN &amp; PRUEBAS OFFLINE ROUTERS 4G REDUNDANCIA F.O</t>
  </si>
  <si>
    <t>PROGRAMACIÓN DE LOS ROUTERS 4G PARA LAS REMOTAS CON FIBRA OPTICA CON FUNCION REDUNDANCIA DE COMUNICACIONES</t>
  </si>
  <si>
    <t>CONFIGURACIÓN &amp; PRUEBAS OFFLINE ROUTERS 4G REDUNDANCIA SHDSL</t>
  </si>
  <si>
    <t>PROGRAMACIÓN DE LOS ROUTERS 4G PARA LAS REMOTAS CON LINEA DEDICADA CON FUNCION REDUNDANCIA DE COMUNICACIONES</t>
  </si>
  <si>
    <t>Samsung monitor QM 75R</t>
  </si>
  <si>
    <t>Pantalla de 75" para sustitución sinoptico // Ref. LH75QMREBGCXGO de Samsung o similar</t>
  </si>
  <si>
    <t>PREPARAR ESTRUCTURA MONTAJE MONITOR</t>
  </si>
  <si>
    <t>Preparar estructura metalica, con perfiles de aluminio 4cm x 4cm, en la parte trasera de la pared para posterior sujeción y colocación del panel y monitor.</t>
  </si>
  <si>
    <t>INSTALACION Y COLOCACIÓN DE MONITOR</t>
  </si>
  <si>
    <t>Realizar un frente de DMH lacado en negro, pieza colocada semiempotrada en los paneles actuales para posterior colocación del monitor sobre el. 1 Pieza lateral de : 200cm x 100cm x 4cm</t>
  </si>
  <si>
    <t>LINCENCIA DESARROLLO AVEVA EDGE 1.5K CON 1 THIN CLIENT</t>
  </si>
  <si>
    <t>LICENCIA DE DESARROLLO AVEVA EDGE // Ref. EDGED-01-N-23 "AVEVA Edge 2023 STUDIO DEV 1.5K tags, 1 TC"</t>
  </si>
  <si>
    <t>LINCENCIA RUNTIME AVEVA EDGE 1.5K CON 1 THIN CLIENT</t>
  </si>
  <si>
    <t>LICENCIA RUNTIME AVEVA EDGE // Ref. EDGER-01-N-23 "AVEVA Edge 2023 SCADA RT 1.5K tags, 1 TC"</t>
  </si>
  <si>
    <t>GENERACIÓN AUTOMÁTICA DE NOMBRES EN SQL</t>
  </si>
  <si>
    <t>INGENIERÍA, DESARROLLO, PRUEBAS Y DOCIMENTACIÓN DE SISTEMA AUTOMATICO DE CAMBIO DE NOMBRE DE VARIABLES PARA ANALÍTICA</t>
  </si>
  <si>
    <t>DESARROLLO DE APLICACIÓN AVEVA EDGE</t>
  </si>
  <si>
    <t>DESARROLLO DE LA APLICACIÓN DE AVEVA EDGE PARA LOS DOS SISTEMAS (ARRIARAN Y BARRENDIOLA)</t>
  </si>
  <si>
    <t>LICENCIA DE SQL SERVER STANDARD a INSTALAR EN SERVIDOR CENTRAL</t>
  </si>
  <si>
    <t>MICROSOFT SQL SERVER 2022 STANDARD CON DOS LICENCIAS CAL</t>
  </si>
  <si>
    <t>ACTIVACIÓN DE LAS VARIABLES EN OPC UA  PLC</t>
  </si>
  <si>
    <t>ACTIVACIÓN DE LAS VARIABLES DEL PROYECTO EN EL SERVIDOR OPC UA DEL PROYECTO. CADA UNIDAD SON HASTA 200 VARIABLES</t>
  </si>
  <si>
    <t>INSTALACIÓN DE AVEVA EDGE &amp; SQL SERVER EXPRESS &amp; APLICACIÓN AVEVA EGDE</t>
  </si>
  <si>
    <t>INSTALACIÓN DE LOS SOFTWARES EN LOCAL (AVEVA EDGE Y SQL SERVER EXPRESS), CARGA DE LA APLICACIÓN AVEVA EDGE Y COMPROBACIÓN CONEXIÓN CORRECTA CONECTOR BBDD</t>
  </si>
  <si>
    <t>PEM SOLUCIÓN BBDD LOCAL</t>
  </si>
  <si>
    <t>PUESTA EN MARCHA DE LA SOLUCIÓN DESARROLLADA CON LA CORRECTA GRABACIÓN DATOS EN LOCAL Y GENERACIÓN AUTOMÁTICA NOMBRES SQL</t>
  </si>
  <si>
    <t>PROGRAMACIÓN DE LAS PETICIONES SQL EN BBDD GLOBAL</t>
  </si>
  <si>
    <t>PROGRACIÓN DE LAS PETICIONES A REALIZAR DESDE LA BBDD GLOBAL A LAS 2 BBDD LOCALES PARA LA RECOGIDA DE DATOS DIARIOS. CONTEMPLANDO EL PROCESO AUTOMÁTICO DE CAMBIO DE NOMBRES</t>
  </si>
  <si>
    <t>PUESTA EN MARCHA DE LA SOLUCIÓN DESARROLLADA CON LA CORRECTA GRABACIÓN DATOS EN GLOBAL DE LOS 2 SISTEMAS Y GENERACIÓN AUTOMÁTICA NOMBRES SQL</t>
  </si>
  <si>
    <t>INSTALACIÓN DE  SQL SERVER STANDARD CON USUARIOS, CAL</t>
  </si>
  <si>
    <t>INSTALACIÓN DE SOFTWARE SQL SERVER STANDARD, CONFIGURACIÓN DE LOS USUARIOS DE ACCESO, LICENCIAS CAL Y CONECTORES CON BBDD LOCALES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</si>
</sst>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0.00\ &quot;€&quot;;[Red]\-#,##0.00\ &quot;€&quot;"/>
    <numFmt numFmtId="44" formatCode="_-* #,##0.00\ &quot;€&quot;_-;\-* #,##0.00\ &quot;€&quot;_-;_-* &quot;-&quot;??\ &quot;€&quot;_-;_-@_-"/>
    <numFmt numFmtId="164" formatCode="#,##0.00\ &quot;€&quot;"/>
  </numFmts>
  <fonts count="15">
    <font>
      <sz val="10"/>
      <name val="Arial"/>
    </font>
    <font>
      <sz val="11"/>
      <color theme="1"/>
      <name val="Calibri"/>
      <family val="2"/>
      <scheme val="minor"/>
    </font>
    <font>
      <sz val="8"/>
      <color theme="1"/>
      <name val="Calibri"/>
      <family val="2"/>
      <scheme val="minor"/>
    </font>
    <font>
      <b/>
      <sz val="12"/>
      <color theme="0"/>
      <name val="Arial"/>
      <family val="2"/>
    </font>
    <font>
      <b/>
      <sz val="8"/>
      <color theme="1"/>
      <name val="Calibri"/>
      <family val="2"/>
      <scheme val="minor"/>
    </font>
    <font>
      <b/>
      <sz val="8"/>
      <name val="Calibri"/>
      <family val="2"/>
      <scheme val="minor"/>
    </font>
    <font>
      <sz val="11"/>
      <color rgb="FF1F497D"/>
      <name val="Calibri"/>
      <family val="2"/>
    </font>
    <font>
      <sz val="8"/>
      <name val="Calibri"/>
      <family val="2"/>
      <scheme val="minor"/>
    </font>
    <font>
      <sz val="10"/>
      <name val="Arial"/>
      <family val="2"/>
    </font>
    <font>
      <b/>
      <sz val="14"/>
      <color theme="1"/>
      <name val="Calibri"/>
      <family val="2"/>
      <scheme val="minor"/>
    </font>
    <font>
      <b/>
      <i/>
      <sz val="10"/>
      <color theme="1"/>
      <name val="Calibri"/>
      <family val="2"/>
      <scheme val="minor"/>
    </font>
    <font>
      <sz val="8"/>
      <color rgb="FFFF0000"/>
      <name val="Calibri"/>
      <family val="2"/>
      <scheme val="minor"/>
    </font>
    <font>
      <b/>
      <sz val="9"/>
      <color theme="1"/>
      <name val="Arial"/>
      <family val="2"/>
    </font>
    <font>
      <b/>
      <sz val="9"/>
      <color theme="0"/>
      <name val="Arial"/>
      <family val="2"/>
    </font>
    <font>
      <sz val="8"/>
      <color rgb="FF002060"/>
      <name val="Calibri"/>
      <family val="2"/>
      <scheme val="minor"/>
    </font>
  </fonts>
  <fills count="13">
    <fill>
      <patternFill patternType="none"/>
    </fill>
    <fill>
      <patternFill patternType="gray125"/>
    </fill>
    <fill>
      <patternFill patternType="solid">
        <fgColor theme="8" tint="0.39997558519241921"/>
        <bgColor indexed="64"/>
      </patternFill>
    </fill>
    <fill>
      <patternFill patternType="solid">
        <fgColor theme="4" tint="0.79998168889431442"/>
        <bgColor indexed="64"/>
      </patternFill>
    </fill>
    <fill>
      <patternFill patternType="solid">
        <fgColor rgb="FF00B050"/>
        <bgColor indexed="64"/>
      </patternFill>
    </fill>
    <fill>
      <patternFill patternType="solid">
        <fgColor theme="4"/>
        <bgColor indexed="64"/>
      </patternFill>
    </fill>
    <fill>
      <patternFill patternType="solid">
        <fgColor theme="0" tint="-0.249977111117893"/>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rgb="FF00B0F0"/>
        <bgColor indexed="64"/>
      </patternFill>
    </fill>
  </fills>
  <borders count="31">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medium">
        <color indexed="64"/>
      </right>
      <top style="double">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medium">
        <color indexed="64"/>
      </right>
      <top style="thin">
        <color indexed="64"/>
      </top>
      <bottom style="thick">
        <color indexed="64"/>
      </bottom>
      <diagonal/>
    </border>
  </borders>
  <cellStyleXfs count="3">
    <xf numFmtId="0" fontId="0" fillId="0" borderId="0"/>
    <xf numFmtId="44" fontId="8" fillId="0" borderId="0" applyFont="0" applyFill="0" applyBorder="0" applyAlignment="0" applyProtection="0"/>
    <xf numFmtId="0" fontId="1" fillId="0" borderId="0"/>
  </cellStyleXfs>
  <cellXfs count="116">
    <xf numFmtId="0" fontId="0" fillId="0" borderId="0" xfId="0"/>
    <xf numFmtId="49" fontId="4" fillId="2" borderId="0" xfId="0" applyNumberFormat="1" applyFont="1" applyFill="1" applyAlignment="1">
      <alignment vertical="top" wrapText="1"/>
    </xf>
    <xf numFmtId="49" fontId="2" fillId="0" borderId="0" xfId="0" applyNumberFormat="1" applyFont="1" applyAlignment="1">
      <alignment vertical="top"/>
    </xf>
    <xf numFmtId="4" fontId="2" fillId="0" borderId="0" xfId="0" applyNumberFormat="1" applyFont="1" applyAlignment="1">
      <alignment vertical="top"/>
    </xf>
    <xf numFmtId="0" fontId="2" fillId="0" borderId="0" xfId="0" applyFont="1" applyAlignment="1">
      <alignment vertical="top"/>
    </xf>
    <xf numFmtId="0" fontId="2" fillId="3" borderId="0" xfId="0" applyFont="1" applyFill="1" applyAlignment="1">
      <alignment vertical="top" wrapText="1"/>
    </xf>
    <xf numFmtId="164" fontId="5" fillId="0" borderId="0" xfId="0" applyNumberFormat="1"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164" fontId="4" fillId="2" borderId="0" xfId="0" applyNumberFormat="1" applyFont="1" applyFill="1" applyAlignment="1">
      <alignment horizontal="center" vertical="top" wrapText="1"/>
    </xf>
    <xf numFmtId="8" fontId="0" fillId="0" borderId="0" xfId="0" applyNumberFormat="1"/>
    <xf numFmtId="8" fontId="6" fillId="0" borderId="0" xfId="0" applyNumberFormat="1" applyFont="1"/>
    <xf numFmtId="4" fontId="7"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 vertical="center" wrapText="1"/>
    </xf>
    <xf numFmtId="0" fontId="2" fillId="0" borderId="0" xfId="0" applyFont="1" applyAlignment="1">
      <alignment vertical="top" wrapText="1"/>
    </xf>
    <xf numFmtId="49" fontId="9" fillId="0" borderId="0" xfId="0" applyNumberFormat="1" applyFont="1" applyAlignment="1">
      <alignment vertical="top"/>
    </xf>
    <xf numFmtId="0" fontId="9" fillId="0" borderId="0" xfId="0" applyFont="1" applyAlignment="1">
      <alignment vertical="top"/>
    </xf>
    <xf numFmtId="49" fontId="10" fillId="0" borderId="0" xfId="0" applyNumberFormat="1" applyFont="1" applyAlignment="1">
      <alignment horizontal="center" vertical="center" wrapText="1"/>
    </xf>
    <xf numFmtId="49" fontId="10" fillId="0" borderId="0" xfId="0" applyNumberFormat="1" applyFont="1" applyAlignment="1">
      <alignment vertical="center"/>
    </xf>
    <xf numFmtId="0" fontId="9" fillId="0" borderId="0" xfId="0" applyFont="1" applyAlignment="1">
      <alignment vertical="center"/>
    </xf>
    <xf numFmtId="0" fontId="0" fillId="0" borderId="0" xfId="0" applyAlignment="1">
      <alignment vertical="center"/>
    </xf>
    <xf numFmtId="164" fontId="0" fillId="0" borderId="0" xfId="0" applyNumberFormat="1"/>
    <xf numFmtId="49" fontId="2" fillId="0" borderId="0" xfId="0" applyNumberFormat="1" applyFont="1" applyAlignment="1">
      <alignment horizontal="right" vertical="top"/>
    </xf>
    <xf numFmtId="49" fontId="2" fillId="0" borderId="0" xfId="0" applyNumberFormat="1" applyFont="1" applyAlignment="1">
      <alignment horizontal="right" vertical="top" indent="1"/>
    </xf>
    <xf numFmtId="0" fontId="2" fillId="3" borderId="2" xfId="0" applyFont="1" applyFill="1" applyBorder="1" applyAlignment="1">
      <alignment vertical="top" wrapText="1"/>
    </xf>
    <xf numFmtId="49" fontId="4" fillId="3" borderId="9" xfId="0" applyNumberFormat="1" applyFont="1" applyFill="1" applyBorder="1" applyAlignment="1">
      <alignment vertical="top" wrapText="1"/>
    </xf>
    <xf numFmtId="164" fontId="7" fillId="0" borderId="10" xfId="1" applyNumberFormat="1" applyFont="1" applyBorder="1" applyAlignment="1">
      <alignment horizontal="center" wrapText="1"/>
    </xf>
    <xf numFmtId="49" fontId="4" fillId="3" borderId="11" xfId="0" applyNumberFormat="1" applyFont="1" applyFill="1" applyBorder="1" applyAlignment="1">
      <alignment vertical="top" wrapText="1"/>
    </xf>
    <xf numFmtId="0" fontId="2" fillId="3" borderId="12" xfId="0" applyFont="1" applyFill="1" applyBorder="1" applyAlignment="1">
      <alignment vertical="top" wrapText="1"/>
    </xf>
    <xf numFmtId="49" fontId="4" fillId="3" borderId="6" xfId="0" applyNumberFormat="1" applyFont="1" applyFill="1" applyBorder="1" applyAlignment="1">
      <alignment vertical="top" wrapText="1"/>
    </xf>
    <xf numFmtId="0" fontId="2" fillId="3" borderId="7" xfId="0" applyFont="1" applyFill="1" applyBorder="1" applyAlignment="1">
      <alignment vertical="top" wrapText="1"/>
    </xf>
    <xf numFmtId="164" fontId="7" fillId="0" borderId="8" xfId="1" applyNumberFormat="1" applyFont="1" applyBorder="1" applyAlignment="1">
      <alignment horizontal="center" wrapText="1"/>
    </xf>
    <xf numFmtId="164" fontId="11" fillId="0" borderId="10" xfId="1" applyNumberFormat="1" applyFont="1" applyBorder="1" applyAlignment="1">
      <alignment horizontal="center" wrapText="1"/>
    </xf>
    <xf numFmtId="0" fontId="12" fillId="6" borderId="6" xfId="0" applyFont="1" applyFill="1" applyBorder="1" applyAlignment="1">
      <alignment horizontal="center" vertical="center"/>
    </xf>
    <xf numFmtId="0" fontId="12" fillId="6" borderId="7" xfId="0" applyFont="1" applyFill="1" applyBorder="1" applyAlignment="1">
      <alignment horizontal="center" vertical="center"/>
    </xf>
    <xf numFmtId="0" fontId="12" fillId="6" borderId="8" xfId="0" applyFont="1" applyFill="1" applyBorder="1" applyAlignment="1">
      <alignment vertical="center" wrapText="1"/>
    </xf>
    <xf numFmtId="0" fontId="8" fillId="0" borderId="0" xfId="0" applyFont="1" applyAlignment="1">
      <alignment horizontal="right"/>
    </xf>
    <xf numFmtId="49" fontId="2" fillId="0" borderId="0" xfId="0" applyNumberFormat="1" applyFont="1" applyAlignment="1">
      <alignment horizontal="center" vertical="center" wrapText="1"/>
    </xf>
    <xf numFmtId="0" fontId="4" fillId="3" borderId="0" xfId="0" applyFont="1" applyFill="1" applyAlignment="1">
      <alignment vertical="top" wrapText="1"/>
    </xf>
    <xf numFmtId="164" fontId="7" fillId="0" borderId="0" xfId="0" applyNumberFormat="1" applyFont="1" applyAlignment="1">
      <alignment horizontal="center" vertical="center" wrapText="1"/>
    </xf>
    <xf numFmtId="49" fontId="4" fillId="7" borderId="0" xfId="0" applyNumberFormat="1" applyFont="1" applyFill="1" applyAlignment="1">
      <alignment vertical="top" wrapText="1"/>
    </xf>
    <xf numFmtId="164" fontId="4" fillId="7" borderId="0" xfId="0" applyNumberFormat="1" applyFont="1" applyFill="1" applyAlignment="1">
      <alignment horizontal="center" vertical="top" wrapText="1"/>
    </xf>
    <xf numFmtId="49" fontId="4" fillId="8" borderId="0" xfId="0" applyNumberFormat="1" applyFont="1" applyFill="1" applyAlignment="1">
      <alignment vertical="top" wrapText="1"/>
    </xf>
    <xf numFmtId="49" fontId="4" fillId="8" borderId="0" xfId="0" applyNumberFormat="1" applyFont="1" applyFill="1" applyAlignment="1">
      <alignment vertical="top"/>
    </xf>
    <xf numFmtId="49" fontId="4" fillId="8" borderId="0" xfId="0" applyNumberFormat="1" applyFont="1" applyFill="1" applyAlignment="1">
      <alignment horizontal="center" vertical="top" wrapText="1"/>
    </xf>
    <xf numFmtId="164" fontId="14" fillId="0" borderId="10" xfId="1" applyNumberFormat="1" applyFont="1" applyBorder="1" applyAlignment="1">
      <alignment horizontal="center" wrapText="1"/>
    </xf>
    <xf numFmtId="164" fontId="14" fillId="0" borderId="13" xfId="1" applyNumberFormat="1" applyFont="1" applyBorder="1" applyAlignment="1">
      <alignment horizontal="center" wrapText="1"/>
    </xf>
    <xf numFmtId="49" fontId="4" fillId="9" borderId="9" xfId="0" applyNumberFormat="1" applyFont="1" applyFill="1" applyBorder="1" applyAlignment="1">
      <alignment vertical="top" wrapText="1"/>
    </xf>
    <xf numFmtId="0" fontId="2" fillId="9" borderId="2" xfId="0" applyFont="1" applyFill="1" applyBorder="1" applyAlignment="1">
      <alignment vertical="top" wrapText="1"/>
    </xf>
    <xf numFmtId="164" fontId="14" fillId="0" borderId="16" xfId="1" applyNumberFormat="1" applyFont="1" applyBorder="1" applyAlignment="1">
      <alignment horizontal="center" wrapText="1"/>
    </xf>
    <xf numFmtId="0" fontId="8" fillId="0" borderId="17" xfId="0" applyFont="1" applyBorder="1" applyAlignment="1">
      <alignment horizontal="right"/>
    </xf>
    <xf numFmtId="49" fontId="5" fillId="3" borderId="18" xfId="0" applyNumberFormat="1" applyFont="1" applyFill="1" applyBorder="1" applyAlignment="1">
      <alignment vertical="top" wrapText="1"/>
    </xf>
    <xf numFmtId="0" fontId="7" fillId="3" borderId="19" xfId="0" applyFont="1" applyFill="1" applyBorder="1" applyAlignment="1">
      <alignment vertical="top" wrapText="1"/>
    </xf>
    <xf numFmtId="164" fontId="7" fillId="0" borderId="20" xfId="1" applyNumberFormat="1" applyFont="1" applyBorder="1" applyAlignment="1">
      <alignment horizontal="center" wrapText="1"/>
    </xf>
    <xf numFmtId="164" fontId="14" fillId="0" borderId="21" xfId="1" applyNumberFormat="1" applyFont="1" applyBorder="1" applyAlignment="1">
      <alignment horizontal="center" wrapText="1"/>
    </xf>
    <xf numFmtId="49" fontId="4" fillId="9" borderId="18" xfId="0" applyNumberFormat="1" applyFont="1" applyFill="1" applyBorder="1" applyAlignment="1">
      <alignment vertical="top" wrapText="1"/>
    </xf>
    <xf numFmtId="0" fontId="2" fillId="9" borderId="19" xfId="0" applyFont="1" applyFill="1" applyBorder="1" applyAlignment="1">
      <alignment vertical="top" wrapText="1"/>
    </xf>
    <xf numFmtId="49" fontId="4" fillId="10" borderId="14" xfId="0" applyNumberFormat="1" applyFont="1" applyFill="1" applyBorder="1" applyAlignment="1">
      <alignment vertical="top" wrapText="1"/>
    </xf>
    <xf numFmtId="0" fontId="2" fillId="10" borderId="15" xfId="0" applyFont="1" applyFill="1" applyBorder="1" applyAlignment="1">
      <alignment vertical="top" wrapText="1"/>
    </xf>
    <xf numFmtId="49" fontId="4" fillId="10" borderId="9" xfId="0" applyNumberFormat="1" applyFont="1" applyFill="1" applyBorder="1" applyAlignment="1">
      <alignment vertical="top" wrapText="1"/>
    </xf>
    <xf numFmtId="0" fontId="2" fillId="10" borderId="2" xfId="0" applyFont="1" applyFill="1" applyBorder="1" applyAlignment="1">
      <alignment vertical="top" wrapText="1"/>
    </xf>
    <xf numFmtId="49" fontId="4" fillId="10" borderId="11" xfId="0" applyNumberFormat="1" applyFont="1" applyFill="1" applyBorder="1" applyAlignment="1">
      <alignment vertical="top" wrapText="1"/>
    </xf>
    <xf numFmtId="0" fontId="2" fillId="10" borderId="12" xfId="0" applyFont="1" applyFill="1" applyBorder="1" applyAlignment="1">
      <alignment vertical="top" wrapText="1"/>
    </xf>
    <xf numFmtId="164" fontId="4" fillId="8" borderId="0" xfId="0" applyNumberFormat="1" applyFont="1" applyFill="1" applyAlignment="1">
      <alignment horizontal="center" vertical="top" wrapText="1"/>
    </xf>
    <xf numFmtId="49" fontId="4" fillId="8" borderId="14" xfId="0" applyNumberFormat="1" applyFont="1" applyFill="1" applyBorder="1" applyAlignment="1">
      <alignment vertical="top" wrapText="1"/>
    </xf>
    <xf numFmtId="0" fontId="2" fillId="8" borderId="15" xfId="0" applyFont="1" applyFill="1" applyBorder="1" applyAlignment="1">
      <alignment vertical="top" wrapText="1"/>
    </xf>
    <xf numFmtId="49" fontId="4" fillId="2" borderId="22" xfId="0" applyNumberFormat="1" applyFont="1" applyFill="1" applyBorder="1" applyAlignment="1">
      <alignment vertical="top"/>
    </xf>
    <xf numFmtId="49" fontId="4" fillId="2" borderId="23" xfId="0" applyNumberFormat="1" applyFont="1" applyFill="1" applyBorder="1" applyAlignment="1">
      <alignment vertical="top"/>
    </xf>
    <xf numFmtId="49" fontId="4" fillId="2" borderId="23" xfId="0" applyNumberFormat="1" applyFont="1" applyFill="1" applyBorder="1" applyAlignment="1">
      <alignment vertical="top" wrapText="1"/>
    </xf>
    <xf numFmtId="49" fontId="4" fillId="2" borderId="23" xfId="0" applyNumberFormat="1" applyFont="1" applyFill="1" applyBorder="1" applyAlignment="1">
      <alignment horizontal="center" vertical="top" wrapText="1"/>
    </xf>
    <xf numFmtId="164" fontId="4" fillId="2" borderId="24" xfId="0" applyNumberFormat="1" applyFont="1" applyFill="1" applyBorder="1" applyAlignment="1">
      <alignment vertical="top" wrapText="1"/>
    </xf>
    <xf numFmtId="164" fontId="8" fillId="0" borderId="0" xfId="0" applyNumberFormat="1" applyFont="1"/>
    <xf numFmtId="49" fontId="4" fillId="11" borderId="0" xfId="0" applyNumberFormat="1" applyFont="1" applyFill="1" applyAlignment="1">
      <alignment horizontal="right" vertical="top" wrapText="1"/>
    </xf>
    <xf numFmtId="49" fontId="4" fillId="11" borderId="0" xfId="0" applyNumberFormat="1" applyFont="1" applyFill="1" applyAlignment="1">
      <alignment vertical="top" wrapText="1"/>
    </xf>
    <xf numFmtId="164" fontId="4" fillId="11" borderId="0" xfId="0" applyNumberFormat="1" applyFont="1" applyFill="1" applyAlignment="1">
      <alignment horizontal="center" vertical="top" wrapText="1"/>
    </xf>
    <xf numFmtId="0" fontId="4" fillId="11" borderId="0" xfId="0" applyFont="1" applyFill="1" applyAlignment="1">
      <alignment horizontal="right" vertical="top" wrapText="1"/>
    </xf>
    <xf numFmtId="0" fontId="8" fillId="0" borderId="0" xfId="0" applyFont="1" applyAlignment="1">
      <alignment horizontal="right" vertical="center"/>
    </xf>
    <xf numFmtId="49" fontId="4" fillId="8" borderId="14" xfId="0" applyNumberFormat="1" applyFont="1" applyFill="1" applyBorder="1" applyAlignment="1">
      <alignment vertical="center" wrapText="1"/>
    </xf>
    <xf numFmtId="0" fontId="2" fillId="8" borderId="15" xfId="0" applyFont="1" applyFill="1" applyBorder="1" applyAlignment="1">
      <alignment vertical="center" wrapText="1"/>
    </xf>
    <xf numFmtId="164" fontId="14" fillId="0" borderId="16" xfId="1" applyNumberFormat="1" applyFont="1" applyFill="1" applyBorder="1" applyAlignment="1">
      <alignment horizontal="center" vertical="center" wrapText="1"/>
    </xf>
    <xf numFmtId="49" fontId="4" fillId="3" borderId="25" xfId="0" applyNumberFormat="1" applyFont="1" applyFill="1" applyBorder="1" applyAlignment="1">
      <alignment vertical="top" wrapText="1"/>
    </xf>
    <xf numFmtId="0" fontId="2" fillId="3" borderId="26" xfId="0" applyFont="1" applyFill="1" applyBorder="1" applyAlignment="1">
      <alignment vertical="top" wrapText="1"/>
    </xf>
    <xf numFmtId="164" fontId="2" fillId="0" borderId="10" xfId="1" applyNumberFormat="1" applyFont="1" applyBorder="1" applyAlignment="1">
      <alignment horizontal="center" wrapText="1"/>
    </xf>
    <xf numFmtId="164" fontId="2" fillId="0" borderId="13" xfId="1" applyNumberFormat="1" applyFont="1" applyBorder="1" applyAlignment="1">
      <alignment horizontal="center" wrapText="1"/>
    </xf>
    <xf numFmtId="164" fontId="2" fillId="0" borderId="27" xfId="1" applyNumberFormat="1" applyFont="1" applyBorder="1" applyAlignment="1">
      <alignment horizontal="center" wrapText="1"/>
    </xf>
    <xf numFmtId="164" fontId="2" fillId="0" borderId="20" xfId="1" applyNumberFormat="1" applyFont="1" applyBorder="1" applyAlignment="1">
      <alignment horizontal="center" wrapText="1"/>
    </xf>
    <xf numFmtId="164" fontId="2" fillId="0" borderId="16" xfId="1" applyNumberFormat="1" applyFont="1" applyBorder="1" applyAlignment="1">
      <alignment horizontal="center" wrapText="1"/>
    </xf>
    <xf numFmtId="49" fontId="4" fillId="3" borderId="14" xfId="0" applyNumberFormat="1" applyFont="1" applyFill="1" applyBorder="1" applyAlignment="1">
      <alignment vertical="top" wrapText="1"/>
    </xf>
    <xf numFmtId="0" fontId="2" fillId="3" borderId="15" xfId="0" applyFont="1" applyFill="1" applyBorder="1" applyAlignment="1">
      <alignment vertical="top" wrapText="1"/>
    </xf>
    <xf numFmtId="49" fontId="4" fillId="3" borderId="18" xfId="0" applyNumberFormat="1" applyFont="1" applyFill="1" applyBorder="1" applyAlignment="1">
      <alignment vertical="top" wrapText="1"/>
    </xf>
    <xf numFmtId="0" fontId="2" fillId="3" borderId="19" xfId="0" applyFont="1" applyFill="1" applyBorder="1" applyAlignment="1">
      <alignment vertical="top" wrapText="1"/>
    </xf>
    <xf numFmtId="164" fontId="7" fillId="0" borderId="27" xfId="1" applyNumberFormat="1" applyFont="1" applyBorder="1" applyAlignment="1">
      <alignment horizontal="center" wrapText="1"/>
    </xf>
    <xf numFmtId="49" fontId="4" fillId="8" borderId="28" xfId="0" applyNumberFormat="1" applyFont="1" applyFill="1" applyBorder="1" applyAlignment="1">
      <alignment vertical="top" wrapText="1"/>
    </xf>
    <xf numFmtId="0" fontId="2" fillId="8" borderId="29" xfId="0" applyFont="1" applyFill="1" applyBorder="1" applyAlignment="1">
      <alignment vertical="top" wrapText="1"/>
    </xf>
    <xf numFmtId="164" fontId="14" fillId="0" borderId="30" xfId="1" applyNumberFormat="1" applyFont="1" applyBorder="1" applyAlignment="1">
      <alignment horizontal="center" wrapText="1"/>
    </xf>
    <xf numFmtId="49" fontId="4" fillId="4" borderId="14" xfId="0" applyNumberFormat="1" applyFont="1" applyFill="1" applyBorder="1" applyAlignment="1">
      <alignment vertical="top" wrapText="1"/>
    </xf>
    <xf numFmtId="0" fontId="2" fillId="4" borderId="15" xfId="0" applyFont="1" applyFill="1" applyBorder="1" applyAlignment="1">
      <alignment vertical="top" wrapText="1"/>
    </xf>
    <xf numFmtId="0" fontId="2" fillId="4" borderId="15" xfId="0" applyFont="1" applyFill="1" applyBorder="1" applyAlignment="1">
      <alignment vertical="center" wrapText="1"/>
    </xf>
    <xf numFmtId="164" fontId="14" fillId="0" borderId="16" xfId="1" applyNumberFormat="1" applyFont="1" applyBorder="1" applyAlignment="1">
      <alignment horizontal="center" vertical="center" wrapText="1"/>
    </xf>
    <xf numFmtId="49" fontId="4" fillId="12" borderId="14" xfId="0" applyNumberFormat="1" applyFont="1" applyFill="1" applyBorder="1" applyAlignment="1">
      <alignment vertical="top" wrapText="1"/>
    </xf>
    <xf numFmtId="0" fontId="2" fillId="12" borderId="15" xfId="0" applyFont="1" applyFill="1" applyBorder="1" applyAlignment="1">
      <alignment vertical="top" wrapText="1"/>
    </xf>
    <xf numFmtId="49" fontId="4" fillId="12" borderId="14" xfId="0" applyNumberFormat="1" applyFont="1" applyFill="1" applyBorder="1" applyAlignment="1">
      <alignment vertical="center" wrapText="1"/>
    </xf>
    <xf numFmtId="0" fontId="2" fillId="12" borderId="15" xfId="0" applyFont="1" applyFill="1" applyBorder="1" applyAlignment="1">
      <alignment vertical="center" wrapText="1"/>
    </xf>
    <xf numFmtId="49" fontId="4" fillId="4" borderId="14" xfId="0" applyNumberFormat="1" applyFont="1" applyFill="1" applyBorder="1" applyAlignment="1">
      <alignment horizontal="left" vertical="center" wrapText="1"/>
    </xf>
    <xf numFmtId="49" fontId="4" fillId="4" borderId="28" xfId="0" applyNumberFormat="1" applyFont="1" applyFill="1" applyBorder="1" applyAlignment="1">
      <alignment horizontal="left" vertical="center" wrapText="1"/>
    </xf>
    <xf numFmtId="0" fontId="2" fillId="4" borderId="29" xfId="0" applyFont="1" applyFill="1" applyBorder="1" applyAlignment="1">
      <alignment vertical="top" wrapText="1"/>
    </xf>
    <xf numFmtId="0" fontId="4" fillId="11" borderId="0" xfId="0" applyFont="1" applyFill="1" applyAlignment="1">
      <alignment horizontal="left" vertical="top" wrapText="1"/>
    </xf>
    <xf numFmtId="0" fontId="4" fillId="7" borderId="0" xfId="0" applyFont="1" applyFill="1" applyAlignment="1">
      <alignment vertical="top" wrapText="1"/>
    </xf>
    <xf numFmtId="164" fontId="0" fillId="0" borderId="0" xfId="0" applyNumberFormat="1" applyAlignment="1">
      <alignment horizontal="center" vertical="center" wrapText="1"/>
    </xf>
    <xf numFmtId="0" fontId="3" fillId="4" borderId="1" xfId="0" applyFont="1" applyFill="1" applyBorder="1" applyAlignment="1">
      <alignment horizontal="center"/>
    </xf>
    <xf numFmtId="0" fontId="3" fillId="4" borderId="0" xfId="0" applyFont="1" applyFill="1" applyAlignment="1">
      <alignment horizontal="center"/>
    </xf>
    <xf numFmtId="49" fontId="10" fillId="0" borderId="0" xfId="0" applyNumberFormat="1" applyFont="1" applyAlignment="1">
      <alignment horizontal="center" vertical="center"/>
    </xf>
    <xf numFmtId="0" fontId="13" fillId="5" borderId="3" xfId="0" applyFont="1" applyFill="1" applyBorder="1" applyAlignment="1">
      <alignment horizontal="center"/>
    </xf>
    <xf numFmtId="0" fontId="13" fillId="5" borderId="4" xfId="0" applyFont="1" applyFill="1" applyBorder="1" applyAlignment="1">
      <alignment horizontal="center"/>
    </xf>
    <xf numFmtId="0" fontId="13" fillId="5" borderId="5" xfId="0" applyFont="1" applyFill="1" applyBorder="1" applyAlignment="1">
      <alignment horizontal="center"/>
    </xf>
  </cellXfs>
  <cellStyles count="3">
    <cellStyle name="Moneda" xfId="1" builtinId="4"/>
    <cellStyle name="Normal" xfId="0" builtinId="0"/>
    <cellStyle name="Normal 2" xfId="2" xr:uid="{D902E6FA-F0DB-4C56-8812-C6BD787B638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366"/>
  <sheetViews>
    <sheetView tabSelected="1" zoomScaleNormal="100" workbookViewId="0">
      <selection activeCell="E1366" sqref="E1366"/>
    </sheetView>
  </sheetViews>
  <sheetFormatPr defaultColWidth="11.42578125" defaultRowHeight="12.75" outlineLevelRow="2"/>
  <cols>
    <col min="2" max="2" width="33.42578125" bestFit="1" customWidth="1"/>
    <col min="3" max="3" width="25.140625" customWidth="1"/>
    <col min="4" max="4" width="15" bestFit="1" customWidth="1"/>
    <col min="5" max="5" width="93" bestFit="1" customWidth="1"/>
    <col min="7" max="7" width="3.42578125" bestFit="1" customWidth="1"/>
  </cols>
  <sheetData>
    <row r="1" spans="1:10" ht="15.75">
      <c r="A1" s="110" t="s">
        <v>0</v>
      </c>
      <c r="B1" s="111"/>
      <c r="C1" s="111"/>
      <c r="D1" s="111"/>
      <c r="E1" s="111"/>
      <c r="F1" s="111"/>
      <c r="G1" s="111"/>
      <c r="H1" s="111"/>
      <c r="I1" s="111"/>
    </row>
    <row r="2" spans="1:10" ht="18.75">
      <c r="A2" s="16" t="s">
        <v>1</v>
      </c>
      <c r="B2" s="17"/>
      <c r="C2" s="17"/>
      <c r="D2" s="17"/>
      <c r="E2" s="17"/>
      <c r="F2" s="17"/>
      <c r="G2" s="17"/>
      <c r="H2" s="17"/>
      <c r="I2" s="17"/>
      <c r="J2" s="17"/>
    </row>
    <row r="3" spans="1:10" s="21" customFormat="1" ht="25.5">
      <c r="A3" s="19" t="s">
        <v>2</v>
      </c>
      <c r="B3" s="19" t="s">
        <v>3</v>
      </c>
      <c r="C3" s="19" t="s">
        <v>4</v>
      </c>
      <c r="D3" s="20"/>
      <c r="E3" s="19" t="s">
        <v>5</v>
      </c>
      <c r="F3" s="112" t="s">
        <v>6</v>
      </c>
      <c r="G3" s="112"/>
      <c r="H3" s="18" t="s">
        <v>7</v>
      </c>
      <c r="I3" s="18" t="s">
        <v>8</v>
      </c>
      <c r="J3" s="20"/>
    </row>
    <row r="4" spans="1:10">
      <c r="A4" s="67" t="s">
        <v>9</v>
      </c>
      <c r="B4" s="68"/>
      <c r="C4" s="68"/>
      <c r="D4" s="68"/>
      <c r="E4" s="69" t="s">
        <v>10</v>
      </c>
      <c r="F4" s="68"/>
      <c r="G4" s="68" t="s">
        <v>11</v>
      </c>
      <c r="H4" s="70"/>
      <c r="I4" s="71">
        <f>I1139</f>
        <v>135179.06587603301</v>
      </c>
    </row>
    <row r="5" spans="1:10" hidden="1" outlineLevel="1">
      <c r="A5" s="44" t="s">
        <v>12</v>
      </c>
      <c r="B5" s="44"/>
      <c r="C5" s="44"/>
      <c r="D5" s="44"/>
      <c r="E5" s="43" t="s">
        <v>13</v>
      </c>
      <c r="F5" s="44"/>
      <c r="G5" s="44" t="s">
        <v>11</v>
      </c>
      <c r="H5" s="45"/>
      <c r="I5" s="64">
        <f>I83</f>
        <v>13868.563396532096</v>
      </c>
    </row>
    <row r="6" spans="1:10" hidden="1" outlineLevel="2">
      <c r="A6" s="24" t="s">
        <v>14</v>
      </c>
      <c r="B6" s="2" t="s">
        <v>15</v>
      </c>
      <c r="C6" s="2" t="s">
        <v>16</v>
      </c>
      <c r="D6" s="2" t="s">
        <v>17</v>
      </c>
      <c r="E6" s="39" t="str">
        <f>VLOOKUP($D6,PRECIOS_REFERENCIAS!A$3:D$98,2,FALSE)</f>
        <v>PERFIL 1500 480 mm</v>
      </c>
      <c r="F6" s="3">
        <v>1</v>
      </c>
      <c r="G6" s="2" t="s">
        <v>18</v>
      </c>
      <c r="H6" s="40">
        <f>VLOOKUP($D6,PRECIOS_REFERENCIAS!A$3:D$90,4,FALSE)</f>
        <v>28.552500000000002</v>
      </c>
      <c r="I6" s="6">
        <f>H6*F6</f>
        <v>28.552500000000002</v>
      </c>
    </row>
    <row r="7" spans="1:10" hidden="1" outlineLevel="2">
      <c r="A7" s="24"/>
      <c r="B7" s="2"/>
      <c r="C7" s="2"/>
      <c r="D7" s="2"/>
      <c r="E7" s="5" t="str">
        <f>VLOOKUP($D6,PRECIOS_REFERENCIAS!A$3:D$98,3,FALSE)</f>
        <v>S7-1500 PERFIL 480 MM // 6ES7590-1AE80-0AA0</v>
      </c>
      <c r="F7" s="3"/>
      <c r="G7" s="2"/>
      <c r="H7" s="40"/>
      <c r="I7" s="6"/>
    </row>
    <row r="8" spans="1:10" hidden="1" outlineLevel="2">
      <c r="A8" s="24" t="s">
        <v>19</v>
      </c>
      <c r="B8" s="2" t="s">
        <v>20</v>
      </c>
      <c r="C8" s="2" t="s">
        <v>21</v>
      </c>
      <c r="D8" s="2" t="s">
        <v>22</v>
      </c>
      <c r="E8" s="39" t="str">
        <f>VLOOKUP($D8,PRECIOS_REFERENCIAS!A$3:D$98,2,FALSE)</f>
        <v xml:space="preserve">INSTALACION CARRIL DIN </v>
      </c>
      <c r="F8" s="3">
        <f>F6</f>
        <v>1</v>
      </c>
      <c r="G8" s="2" t="s">
        <v>18</v>
      </c>
      <c r="H8" s="40">
        <f>VLOOKUP($D8,PRECIOS_REFERENCIAS!A$3:D$90,4,FALSE)</f>
        <v>35.402252939916011</v>
      </c>
      <c r="I8" s="6">
        <f>H8*F8</f>
        <v>35.402252939916011</v>
      </c>
    </row>
    <row r="9" spans="1:10" hidden="1" outlineLevel="2">
      <c r="A9" s="23"/>
      <c r="B9" s="2"/>
      <c r="C9" s="2"/>
      <c r="D9" s="2"/>
      <c r="E9" s="5" t="str">
        <f>VLOOKUP($D8,PRECIOS_REFERENCIAS!A$3:D$98,3,FALSE)</f>
        <v>SUSTITUCIÓN DE PERFIL SOPORTE DE PLC EXISTENTE POR NUEVO PERFIL DE PLC DEFINIDO, DENTRO DEL ARMARIO ELÉCTRICO ACTUAL.</v>
      </c>
      <c r="F9" s="3"/>
      <c r="G9" s="2"/>
      <c r="H9" s="40"/>
      <c r="I9" s="6"/>
    </row>
    <row r="10" spans="1:10" hidden="1" outlineLevel="2">
      <c r="A10" s="24" t="s">
        <v>23</v>
      </c>
      <c r="B10" s="2" t="s">
        <v>24</v>
      </c>
      <c r="C10" s="2" t="s">
        <v>16</v>
      </c>
      <c r="D10" s="2" t="s">
        <v>24</v>
      </c>
      <c r="E10" s="39" t="str">
        <f>VLOOKUP($D10,PRECIOS_REFERENCIAS!A$3:D$98,2,FALSE)</f>
        <v>SUMINISTRO DE FUENTE ALIMENTACIÓN CPU 1500</v>
      </c>
      <c r="F10" s="3">
        <v>1</v>
      </c>
      <c r="G10" s="2" t="s">
        <v>18</v>
      </c>
      <c r="H10" s="40">
        <f>VLOOKUP($D10,PRECIOS_REFERENCIAS!A$3:D$100,4,FALSE)</f>
        <v>180.01500000000001</v>
      </c>
      <c r="I10" s="6">
        <f>H10*F10</f>
        <v>180.01500000000001</v>
      </c>
    </row>
    <row r="11" spans="1:10" hidden="1" outlineLevel="2">
      <c r="A11" s="24"/>
      <c r="B11" s="38"/>
      <c r="C11" s="38"/>
      <c r="D11" s="38"/>
      <c r="E11" s="5" t="str">
        <f>VLOOKUP($D10,PRECIOS_REFERENCIAS!A$3:D$98,3,FALSE)</f>
        <v>SITOP PSU6200 24 V/10 A //6EP3334-7SB00-3AX0  </v>
      </c>
      <c r="F11" s="7"/>
      <c r="G11" s="7"/>
      <c r="I11" s="6"/>
    </row>
    <row r="12" spans="1:10" hidden="1" outlineLevel="2">
      <c r="A12" s="24" t="s">
        <v>25</v>
      </c>
      <c r="B12" s="2" t="s">
        <v>26</v>
      </c>
      <c r="C12" s="2" t="s">
        <v>16</v>
      </c>
      <c r="D12" s="2" t="s">
        <v>26</v>
      </c>
      <c r="E12" s="39" t="str">
        <f>VLOOKUP($D12,PRECIOS_REFERENCIAS!A$3:D$98,2,FALSE)</f>
        <v>SUMINISTRO DE CPU CONCENTRADOR</v>
      </c>
      <c r="F12" s="3">
        <v>1</v>
      </c>
      <c r="G12" s="2" t="s">
        <v>18</v>
      </c>
      <c r="H12" s="40">
        <f>VLOOKUP($D12,PRECIOS_REFERENCIAS!A$3:D$100,4,FALSE)</f>
        <v>2648.7150000000001</v>
      </c>
      <c r="I12" s="6">
        <f>H12*F12</f>
        <v>2648.7150000000001</v>
      </c>
    </row>
    <row r="13" spans="1:10" hidden="1" outlineLevel="2">
      <c r="A13" s="23"/>
      <c r="B13" s="7"/>
      <c r="C13" s="38"/>
      <c r="D13" s="7"/>
      <c r="E13" s="5" t="str">
        <f>VLOOKUP($D12,PRECIOS_REFERENCIAS!A$3:D$98,3,FALSE)</f>
        <v>CPU 1515-2 PN, 1MB Prog., 4,5MB Data // 6ES7515-2AN03-0AB0</v>
      </c>
      <c r="F13" s="7"/>
      <c r="G13" s="7"/>
      <c r="I13" s="6"/>
    </row>
    <row r="14" spans="1:10" hidden="1" outlineLevel="2">
      <c r="A14" s="24" t="s">
        <v>27</v>
      </c>
      <c r="B14" s="2" t="s">
        <v>20</v>
      </c>
      <c r="C14" s="2" t="s">
        <v>21</v>
      </c>
      <c r="D14" s="2" t="s">
        <v>28</v>
      </c>
      <c r="E14" s="39" t="str">
        <f>VLOOKUP($D14,PRECIOS_REFERENCIAS!A$3:D$99,2,FALSE)</f>
        <v>INSTALACION CPU</v>
      </c>
      <c r="F14" s="3">
        <v>1</v>
      </c>
      <c r="G14" s="2" t="s">
        <v>18</v>
      </c>
      <c r="H14" s="40">
        <f>VLOOKUP($D14,PRECIOS_REFERENCIAS!A$3:D$100,4,FALSE)</f>
        <v>123.90076030798227</v>
      </c>
      <c r="I14" s="6">
        <f>H14*F14</f>
        <v>123.90076030798227</v>
      </c>
    </row>
    <row r="15" spans="1:10" hidden="1" outlineLevel="2">
      <c r="A15" s="24"/>
      <c r="B15" s="2"/>
      <c r="C15" s="2"/>
      <c r="D15" s="2"/>
      <c r="E15" s="5" t="str">
        <f>VLOOKUP($D14,PRECIOS_REFERENCIAS!A$3:D$99,3,FALSE)</f>
        <v>SUSTITUCIÓN DE CPU DE PLC EXISTENTE POR NUEVA CPU DE PLC DEFINIDA</v>
      </c>
      <c r="F15" s="7"/>
      <c r="G15" s="7"/>
      <c r="I15" s="6"/>
    </row>
    <row r="16" spans="1:10" hidden="1" outlineLevel="2">
      <c r="A16" s="24" t="s">
        <v>29</v>
      </c>
      <c r="B16" s="2" t="s">
        <v>30</v>
      </c>
      <c r="C16" s="2" t="s">
        <v>16</v>
      </c>
      <c r="D16" s="2" t="s">
        <v>31</v>
      </c>
      <c r="E16" s="39" t="str">
        <f>VLOOKUP($D16,PRECIOS_REFERENCIAS!A$3:D$98,2,FALSE)</f>
        <v>TARJETA DE MEMORIA S7-1500</v>
      </c>
      <c r="F16" s="3">
        <v>1</v>
      </c>
      <c r="G16" s="2" t="s">
        <v>18</v>
      </c>
      <c r="H16" s="40">
        <f>VLOOKUP($D16,PRECIOS_REFERENCIAS!A$3:D$100,4,FALSE)</f>
        <v>361.46999999999997</v>
      </c>
      <c r="I16" s="6">
        <f>H16*F16</f>
        <v>361.46999999999997</v>
      </c>
    </row>
    <row r="17" spans="1:9" hidden="1" outlineLevel="2">
      <c r="A17" s="23"/>
      <c r="B17" s="7"/>
      <c r="C17" s="7"/>
      <c r="D17" s="7"/>
      <c r="E17" s="5" t="str">
        <f>VLOOKUP($D16,PRECIOS_REFERENCIAS!A$3:D$98,3,FALSE)</f>
        <v>SIMATIC S7 Memory Card, 256 MB //6ES7954-8LL04-0AA0</v>
      </c>
      <c r="F17" s="7"/>
      <c r="G17" s="7"/>
      <c r="I17" s="6"/>
    </row>
    <row r="18" spans="1:9" hidden="1" outlineLevel="2">
      <c r="A18" s="24" t="s">
        <v>32</v>
      </c>
      <c r="B18" s="2" t="s">
        <v>33</v>
      </c>
      <c r="C18" s="2" t="s">
        <v>16</v>
      </c>
      <c r="D18" s="2" t="s">
        <v>33</v>
      </c>
      <c r="E18" s="39" t="str">
        <f>VLOOKUP($D18,PRECIOS_REFERENCIAS!A$3:D$99,2,FALSE)</f>
        <v>SUMINISTRO MÓDULO DE 32 ENTRADAS DIGITALES</v>
      </c>
      <c r="F18" s="3">
        <v>2</v>
      </c>
      <c r="G18" s="2" t="s">
        <v>18</v>
      </c>
      <c r="H18" s="40">
        <f>VLOOKUP($D18,PRECIOS_REFERENCIAS!A$3:D$100,4,FALSE)</f>
        <v>308.82</v>
      </c>
      <c r="I18" s="6">
        <f>H18*F18</f>
        <v>617.64</v>
      </c>
    </row>
    <row r="19" spans="1:9" hidden="1" outlineLevel="2">
      <c r="A19" s="24"/>
      <c r="B19" s="7"/>
      <c r="C19" s="7"/>
      <c r="D19" s="7"/>
      <c r="E19" s="5" t="str">
        <f>VLOOKUP($D18,PRECIOS_REFERENCIAS!A$3:D$99,3,FALSE)</f>
        <v>SIMATIC S7-1500,  Módulo de 32 Entradas Digitales // 6ES7521-1BL00-0AB0</v>
      </c>
      <c r="F19" s="7"/>
      <c r="G19" s="7"/>
      <c r="I19" s="6"/>
    </row>
    <row r="20" spans="1:9" hidden="1" outlineLevel="2">
      <c r="A20" s="24" t="s">
        <v>34</v>
      </c>
      <c r="B20" s="2" t="s">
        <v>20</v>
      </c>
      <c r="C20" s="2" t="s">
        <v>21</v>
      </c>
      <c r="D20" s="2" t="s">
        <v>35</v>
      </c>
      <c r="E20" s="39" t="str">
        <f>VLOOKUP($D20,PRECIOS_REFERENCIAS!A$3:D$99,2,FALSE)</f>
        <v>INSTALACION ED</v>
      </c>
      <c r="F20" s="3">
        <v>2</v>
      </c>
      <c r="G20" s="2" t="s">
        <v>18</v>
      </c>
      <c r="H20" s="40">
        <f>VLOOKUP($D20,PRECIOS_REFERENCIAS!A$3:D$100,4,FALSE)</f>
        <v>161.97310014887609</v>
      </c>
      <c r="I20" s="6">
        <f>H20*F20</f>
        <v>323.94620029775217</v>
      </c>
    </row>
    <row r="21" spans="1:9" hidden="1" outlineLevel="2">
      <c r="A21" s="23"/>
      <c r="B21" s="2"/>
      <c r="C21" s="2"/>
      <c r="D21" s="2"/>
      <c r="E21" s="5" t="str">
        <f>VLOOKUP($D20,PRECIOS_REFERENCIAS!A$3:D$99,3,FALSE)</f>
        <v>SUSTITUCIÓN DE MÓDULO DE E/S DIGITALES DE PLC EXISTENTE POR NUEVO MÓDULO DE PLC DEFINIDO. ENTRADA DIGITAL 16</v>
      </c>
      <c r="F21" s="7"/>
      <c r="G21" s="7"/>
      <c r="I21" s="6"/>
    </row>
    <row r="22" spans="1:9" hidden="1" outlineLevel="2">
      <c r="A22" s="24" t="s">
        <v>36</v>
      </c>
      <c r="B22" s="2" t="s">
        <v>20</v>
      </c>
      <c r="C22" s="2" t="s">
        <v>16</v>
      </c>
      <c r="D22" s="2" t="s">
        <v>37</v>
      </c>
      <c r="E22" s="39" t="str">
        <f>VLOOKUP($D22,PRECIOS_REFERENCIAS!A$3:D$99,2,FALSE)</f>
        <v>SUMINISTRO ENCHUFE FRONTAL</v>
      </c>
      <c r="F22" s="3">
        <f>F18</f>
        <v>2</v>
      </c>
      <c r="G22" s="2" t="s">
        <v>18</v>
      </c>
      <c r="H22" s="40">
        <f>VLOOKUP($D22,PRECIOS_REFERENCIAS!A$3:D$100,4,FALSE)</f>
        <v>34.987499999999997</v>
      </c>
      <c r="I22" s="6">
        <f>H22*F22</f>
        <v>69.974999999999994</v>
      </c>
    </row>
    <row r="23" spans="1:9" hidden="1" outlineLevel="2">
      <c r="A23" s="24"/>
      <c r="B23" s="2"/>
      <c r="C23" s="2"/>
      <c r="D23" s="2"/>
      <c r="E23" s="5" t="str">
        <f>VLOOKUP($D22,PRECIOS_REFERENCIAS!A$3:D$99,3,FALSE)</f>
        <v>Enchufe frontal Push-in (mód. de 35mm) // 6ES7592-1BM00-0XB0</v>
      </c>
      <c r="F23" s="7"/>
      <c r="G23" s="7"/>
      <c r="I23" s="6"/>
    </row>
    <row r="24" spans="1:9" hidden="1" outlineLevel="2">
      <c r="A24" s="24" t="s">
        <v>38</v>
      </c>
      <c r="B24" s="2" t="s">
        <v>39</v>
      </c>
      <c r="C24" s="2" t="s">
        <v>16</v>
      </c>
      <c r="D24" s="2" t="s">
        <v>39</v>
      </c>
      <c r="E24" s="39" t="str">
        <f>VLOOKUP($D24,PRECIOS_REFERENCIAS!A$3:D$99,2,FALSE)</f>
        <v>SUMINISTRO MÓDULO DE 32 SALIDAS DIGITALES</v>
      </c>
      <c r="F24" s="3">
        <v>2</v>
      </c>
      <c r="G24" s="2" t="s">
        <v>18</v>
      </c>
      <c r="H24" s="40">
        <f>VLOOKUP($D24,PRECIOS_REFERENCIAS!A$3:D$100,4,FALSE)</f>
        <v>439.43999999999994</v>
      </c>
      <c r="I24" s="6">
        <f>H24*F24</f>
        <v>878.87999999999988</v>
      </c>
    </row>
    <row r="25" spans="1:9" hidden="1" outlineLevel="2">
      <c r="A25" s="23"/>
      <c r="B25" s="7"/>
      <c r="C25" s="7"/>
      <c r="D25" s="7"/>
      <c r="E25" s="5" t="str">
        <f>VLOOKUP($D24,PRECIOS_REFERENCIAS!A$3:D$99,3,FALSE)</f>
        <v>SIMATIC S7-1500,  Módulo de 32 Salidas Digitales //  6ES7522-1BL01-0AB0</v>
      </c>
      <c r="F25" s="7"/>
      <c r="G25" s="7"/>
      <c r="I25" s="6"/>
    </row>
    <row r="26" spans="1:9" hidden="1" outlineLevel="2">
      <c r="A26" s="24" t="s">
        <v>40</v>
      </c>
      <c r="B26" s="2" t="s">
        <v>20</v>
      </c>
      <c r="C26" s="2" t="s">
        <v>21</v>
      </c>
      <c r="D26" s="2" t="s">
        <v>41</v>
      </c>
      <c r="E26" s="39" t="str">
        <f>VLOOKUP($D26,PRECIOS_REFERENCIAS!A$3:D$99,2,FALSE)</f>
        <v>INSTALACION SD</v>
      </c>
      <c r="F26" s="3">
        <f>F24</f>
        <v>2</v>
      </c>
      <c r="G26" s="2" t="s">
        <v>18</v>
      </c>
      <c r="H26" s="40">
        <f>VLOOKUP($D26,PRECIOS_REFERENCIAS!A$3:D$100,4,FALSE)</f>
        <v>162.83522293745065</v>
      </c>
      <c r="I26" s="6">
        <f>H26*F26</f>
        <v>325.6704458749013</v>
      </c>
    </row>
    <row r="27" spans="1:9" hidden="1" outlineLevel="2">
      <c r="A27" s="24"/>
      <c r="B27" s="2"/>
      <c r="C27" s="2"/>
      <c r="D27" s="2"/>
      <c r="E27" s="5" t="str">
        <f>VLOOKUP($D26,PRECIOS_REFERENCIAS!A$3:D$99,3,FALSE)</f>
        <v>SUSTITUCIÓN DE MÓDULO DE E/S DIGITALES DE PLC EXISTENTE POR NUEVO MÓDULO DE PLC DEFINIDO. SALIDA DIGITAL 16</v>
      </c>
      <c r="F27" s="7"/>
      <c r="G27" s="7"/>
      <c r="I27" s="6"/>
    </row>
    <row r="28" spans="1:9" hidden="1" outlineLevel="2">
      <c r="A28" s="24" t="s">
        <v>42</v>
      </c>
      <c r="B28" s="2" t="s">
        <v>20</v>
      </c>
      <c r="C28" s="2" t="s">
        <v>16</v>
      </c>
      <c r="D28" s="2" t="s">
        <v>37</v>
      </c>
      <c r="E28" s="39" t="str">
        <f>VLOOKUP($D28,PRECIOS_REFERENCIAS!A$3:D$99,2,FALSE)</f>
        <v>SUMINISTRO ENCHUFE FRONTAL</v>
      </c>
      <c r="F28" s="3">
        <f>F24</f>
        <v>2</v>
      </c>
      <c r="G28" s="2" t="s">
        <v>18</v>
      </c>
      <c r="H28" s="40">
        <f>VLOOKUP($D28,PRECIOS_REFERENCIAS!A$3:D$100,4,FALSE)</f>
        <v>34.987499999999997</v>
      </c>
      <c r="I28" s="6">
        <f>H28*F28</f>
        <v>69.974999999999994</v>
      </c>
    </row>
    <row r="29" spans="1:9" hidden="1" outlineLevel="2">
      <c r="A29" s="23"/>
      <c r="B29" s="2"/>
      <c r="C29" s="2"/>
      <c r="D29" s="2"/>
      <c r="E29" s="5" t="str">
        <f>VLOOKUP($D28,PRECIOS_REFERENCIAS!A$3:D$99,3,FALSE)</f>
        <v>Enchufe frontal Push-in (mód. de 35mm) // 6ES7592-1BM00-0XB0</v>
      </c>
      <c r="F29" s="7"/>
      <c r="G29" s="7"/>
      <c r="I29" s="6"/>
    </row>
    <row r="30" spans="1:9" hidden="1" outlineLevel="2">
      <c r="A30" s="24" t="s">
        <v>43</v>
      </c>
      <c r="B30" s="2" t="s">
        <v>44</v>
      </c>
      <c r="C30" s="2" t="s">
        <v>16</v>
      </c>
      <c r="D30" s="2" t="s">
        <v>44</v>
      </c>
      <c r="E30" s="39" t="str">
        <f>VLOOKUP($D30,PRECIOS_REFERENCIAS!A$3:D$99,2,FALSE)</f>
        <v>SUMINISTRO MÓDULO DE 8 ENTRADAS ANALÓGICAS</v>
      </c>
      <c r="F30" s="3">
        <v>2</v>
      </c>
      <c r="G30" s="2" t="s">
        <v>18</v>
      </c>
      <c r="H30" s="40">
        <f>VLOOKUP($D30,PRECIOS_REFERENCIAS!A$3:D$100,4,FALSE)</f>
        <v>907.80750000000012</v>
      </c>
      <c r="I30" s="6">
        <f>H30*F30</f>
        <v>1815.6150000000002</v>
      </c>
    </row>
    <row r="31" spans="1:9" hidden="1" outlineLevel="2">
      <c r="A31" s="24"/>
      <c r="B31" s="7"/>
      <c r="C31" s="7"/>
      <c r="D31" s="7"/>
      <c r="E31" s="5" t="str">
        <f>VLOOKUP($D30,PRECIOS_REFERENCIAS!A$3:D$99,3,FALSE)</f>
        <v>SIMATIC S7-1500,  Módulo de Entradas analógicas AI 8 X U/R/RTD/TC HF // 6ES7531-7PF00-0AB0</v>
      </c>
      <c r="F31" s="7"/>
      <c r="G31" s="7"/>
      <c r="I31" s="6"/>
    </row>
    <row r="32" spans="1:9" hidden="1" outlineLevel="2">
      <c r="A32" s="24" t="s">
        <v>45</v>
      </c>
      <c r="B32" s="2" t="s">
        <v>20</v>
      </c>
      <c r="C32" s="2" t="s">
        <v>21</v>
      </c>
      <c r="D32" s="2" t="s">
        <v>46</v>
      </c>
      <c r="E32" s="39" t="str">
        <f>VLOOKUP($D32,PRECIOS_REFERENCIAS!A$3:D$99,2,FALSE)</f>
        <v>INSTALACION EA</v>
      </c>
      <c r="F32" s="3">
        <f>F30</f>
        <v>2</v>
      </c>
      <c r="G32" s="2" t="s">
        <v>18</v>
      </c>
      <c r="H32" s="40">
        <f>VLOOKUP($D32,PRECIOS_REFERENCIAS!A$3:D$100,4,FALSE)</f>
        <v>237.18351660213608</v>
      </c>
      <c r="I32" s="6">
        <f>H32*F32</f>
        <v>474.36703320427216</v>
      </c>
    </row>
    <row r="33" spans="1:9" hidden="1" outlineLevel="2">
      <c r="A33" s="23"/>
      <c r="B33" s="2"/>
      <c r="C33" s="2"/>
      <c r="D33" s="2"/>
      <c r="E33" s="5" t="str">
        <f>VLOOKUP($D32,PRECIOS_REFERENCIAS!A$3:D$99,3,FALSE)</f>
        <v>SUSTITUCIÓN DE MÓDULO DE E/S ANALÓGICAS DE PLC EXISTENTE POR NUEVO MÓDULO DE PLC DEFINIDO. ENTRADA ANALÓGICAS 8</v>
      </c>
      <c r="F33" s="7"/>
      <c r="G33" s="7"/>
      <c r="I33" s="6"/>
    </row>
    <row r="34" spans="1:9" hidden="1" outlineLevel="2">
      <c r="A34" s="24" t="s">
        <v>47</v>
      </c>
      <c r="B34" s="2" t="s">
        <v>20</v>
      </c>
      <c r="C34" s="2" t="s">
        <v>16</v>
      </c>
      <c r="D34" s="2" t="s">
        <v>37</v>
      </c>
      <c r="E34" s="39" t="str">
        <f>VLOOKUP($D34,PRECIOS_REFERENCIAS!A$3:D$99,2,FALSE)</f>
        <v>SUMINISTRO ENCHUFE FRONTAL</v>
      </c>
      <c r="F34" s="3">
        <f>F30</f>
        <v>2</v>
      </c>
      <c r="G34" s="2" t="s">
        <v>18</v>
      </c>
      <c r="H34" s="40">
        <f>VLOOKUP($D34,PRECIOS_REFERENCIAS!A$3:D$100,4,FALSE)</f>
        <v>34.987499999999997</v>
      </c>
      <c r="I34" s="6">
        <f>H34*F34</f>
        <v>69.974999999999994</v>
      </c>
    </row>
    <row r="35" spans="1:9" hidden="1" outlineLevel="2">
      <c r="A35" s="24"/>
      <c r="B35" s="2"/>
      <c r="C35" s="2"/>
      <c r="D35" s="2"/>
      <c r="E35" s="5" t="str">
        <f>VLOOKUP($D34,PRECIOS_REFERENCIAS!A$3:D$99,3,FALSE)</f>
        <v>Enchufe frontal Push-in (mód. de 35mm) // 6ES7592-1BM00-0XB0</v>
      </c>
      <c r="F35" s="7"/>
      <c r="G35" s="7"/>
      <c r="I35" s="6"/>
    </row>
    <row r="36" spans="1:9" hidden="1" outlineLevel="2">
      <c r="A36" s="24" t="s">
        <v>48</v>
      </c>
      <c r="B36" s="2" t="s">
        <v>49</v>
      </c>
      <c r="C36" s="2" t="s">
        <v>16</v>
      </c>
      <c r="D36" s="2" t="s">
        <v>49</v>
      </c>
      <c r="E36" s="39" t="str">
        <f>VLOOKUP($D36,PRECIOS_REFERENCIAS!A$3:D$99,2,FALSE)</f>
        <v>SUMINISTRO MÓDULO DE 4 SALIDAS ANALÓGICAS</v>
      </c>
      <c r="F36" s="3">
        <v>1</v>
      </c>
      <c r="G36" s="2" t="s">
        <v>18</v>
      </c>
      <c r="H36" s="40">
        <f>VLOOKUP($D36,PRECIOS_REFERENCIAS!A$3:D$100,4,FALSE)</f>
        <v>693.21749999999997</v>
      </c>
      <c r="I36" s="6">
        <f>H36*F36</f>
        <v>693.21749999999997</v>
      </c>
    </row>
    <row r="37" spans="1:9" hidden="1" outlineLevel="2">
      <c r="A37" s="23"/>
      <c r="B37" s="7"/>
      <c r="C37" s="7"/>
      <c r="D37" s="7"/>
      <c r="E37" s="5" t="str">
        <f>VLOOKUP($D36,PRECIOS_REFERENCIAS!A$3:D$99,3,FALSE)</f>
        <v>SIMATIC S7-1500,  Módulo de Salidas analógicas  AQ 4xU/I HF//  6ES7532-5ND00-0AB0</v>
      </c>
      <c r="F37" s="7"/>
      <c r="G37" s="7"/>
      <c r="I37" s="6"/>
    </row>
    <row r="38" spans="1:9" hidden="1" outlineLevel="2">
      <c r="A38" s="24" t="s">
        <v>50</v>
      </c>
      <c r="B38" s="2" t="s">
        <v>20</v>
      </c>
      <c r="C38" s="2" t="s">
        <v>21</v>
      </c>
      <c r="D38" s="2" t="s">
        <v>51</v>
      </c>
      <c r="E38" s="39" t="str">
        <f>VLOOKUP($D38,PRECIOS_REFERENCIAS!A$3:D$99,2,FALSE)</f>
        <v>INSTALACION SA</v>
      </c>
      <c r="F38" s="3">
        <f>F36</f>
        <v>1</v>
      </c>
      <c r="G38" s="2" t="s">
        <v>18</v>
      </c>
      <c r="H38" s="40">
        <f>VLOOKUP($D38,PRECIOS_REFERENCIAS!A$3:D$100,4,FALSE)</f>
        <v>160</v>
      </c>
      <c r="I38" s="6">
        <f>H38*F38</f>
        <v>160</v>
      </c>
    </row>
    <row r="39" spans="1:9" hidden="1" outlineLevel="2">
      <c r="A39" s="24"/>
      <c r="B39" s="2"/>
      <c r="C39" s="2"/>
      <c r="D39" s="2"/>
      <c r="E39" s="5" t="str">
        <f>VLOOKUP($D38,PRECIOS_REFERENCIAS!A$3:D$99,3,FALSE)</f>
        <v>SUSTITUCIÓN DE MÓDULO DE E/S ANALÓGICAS DE PLC EXISTENTE POR NUEVO MÓDULO DE PLC DEFINIDO. SALIDAS ANALÓGICAS 2</v>
      </c>
      <c r="F39" s="7"/>
      <c r="G39" s="7"/>
      <c r="I39" s="6"/>
    </row>
    <row r="40" spans="1:9" hidden="1" outlineLevel="2">
      <c r="A40" s="24" t="s">
        <v>52</v>
      </c>
      <c r="B40" s="2" t="s">
        <v>20</v>
      </c>
      <c r="C40" s="2" t="s">
        <v>16</v>
      </c>
      <c r="D40" s="2" t="s">
        <v>37</v>
      </c>
      <c r="E40" s="39" t="str">
        <f>VLOOKUP($D40,PRECIOS_REFERENCIAS!A$3:D$99,2,FALSE)</f>
        <v>SUMINISTRO ENCHUFE FRONTAL</v>
      </c>
      <c r="F40" s="3">
        <f>F36</f>
        <v>1</v>
      </c>
      <c r="G40" s="2" t="s">
        <v>18</v>
      </c>
      <c r="H40" s="40">
        <f>VLOOKUP($D40,PRECIOS_REFERENCIAS!A$3:D$100,4,FALSE)</f>
        <v>34.987499999999997</v>
      </c>
      <c r="I40" s="6">
        <f>H40*F40</f>
        <v>34.987499999999997</v>
      </c>
    </row>
    <row r="41" spans="1:9" hidden="1" outlineLevel="2">
      <c r="A41" s="23"/>
      <c r="B41" s="2"/>
      <c r="C41" s="2"/>
      <c r="D41" s="2"/>
      <c r="E41" s="5" t="str">
        <f>VLOOKUP($D40,PRECIOS_REFERENCIAS!A$3:D$99,3,FALSE)</f>
        <v>Enchufe frontal Push-in (mód. de 35mm) // 6ES7592-1BM00-0XB0</v>
      </c>
      <c r="F41" s="7"/>
      <c r="G41" s="7"/>
      <c r="I41" s="6"/>
    </row>
    <row r="42" spans="1:9" hidden="1" outlineLevel="2">
      <c r="A42" s="24" t="s">
        <v>53</v>
      </c>
      <c r="B42" s="2" t="s">
        <v>54</v>
      </c>
      <c r="C42" s="2" t="s">
        <v>16</v>
      </c>
      <c r="D42" s="2" t="s">
        <v>54</v>
      </c>
      <c r="E42" s="39" t="str">
        <f>VLOOKUP($D42,PRECIOS_REFERENCIAS!A$3:D$90,2,FALSE)</f>
        <v>HMI LOCAL 7" ETHERNET Y COLOR</v>
      </c>
      <c r="F42" s="3">
        <v>1</v>
      </c>
      <c r="G42" s="2" t="s">
        <v>18</v>
      </c>
      <c r="H42" s="40">
        <f>VLOOKUP($D42,PRECIOS_REFERENCIAS!A$3:D$90,4,FALSE)</f>
        <v>612.79</v>
      </c>
      <c r="I42" s="6">
        <f>H42*F42</f>
        <v>612.79</v>
      </c>
    </row>
    <row r="43" spans="1:9" hidden="1" outlineLevel="2">
      <c r="A43" s="24"/>
      <c r="B43" s="2"/>
      <c r="C43" s="38"/>
      <c r="D43" s="2"/>
      <c r="E43" s="5" t="str">
        <f>VLOOKUP($D42,PRECIOS_REFERENCIAS!A$3:D$90,3,FALSE)</f>
        <v>SIMATIC HMI, KTP700 Basic, Basic Panel, Manejo con teclado/táctil, pantalla TFT de 7", 65536 colores // 6ES7531-7NF00-0AB0</v>
      </c>
      <c r="F43" s="7"/>
      <c r="G43" s="7"/>
      <c r="I43" s="6"/>
    </row>
    <row r="44" spans="1:9" hidden="1" outlineLevel="2">
      <c r="A44" s="24" t="s">
        <v>55</v>
      </c>
      <c r="B44" s="2" t="s">
        <v>20</v>
      </c>
      <c r="C44" s="2" t="s">
        <v>21</v>
      </c>
      <c r="D44" s="2" t="s">
        <v>56</v>
      </c>
      <c r="E44" s="39" t="str">
        <f>VLOOKUP($D44,PRECIOS_REFERENCIAS!A$3:D$90,2,FALSE)</f>
        <v>INSTALACION HMI</v>
      </c>
      <c r="F44" s="3">
        <f>F42</f>
        <v>1</v>
      </c>
      <c r="G44" s="2" t="s">
        <v>18</v>
      </c>
      <c r="H44" s="40">
        <f>VLOOKUP($D44,PRECIOS_REFERENCIAS!A$3:D$90,4,FALSE)</f>
        <v>125</v>
      </c>
      <c r="I44" s="6">
        <f>H44*F44</f>
        <v>125</v>
      </c>
    </row>
    <row r="45" spans="1:9" hidden="1" outlineLevel="2">
      <c r="A45" s="23"/>
      <c r="B45" s="2"/>
      <c r="C45" s="2"/>
      <c r="D45" s="2"/>
      <c r="E45" s="5" t="str">
        <f>VLOOKUP($D44,PRECIOS_REFERENCIAS!A$3:D$90,3,FALSE)</f>
        <v>INSTALACIÓN DE PANTALLA HMI</v>
      </c>
      <c r="F45" s="3"/>
      <c r="G45" s="2"/>
      <c r="H45" s="40"/>
      <c r="I45" s="6"/>
    </row>
    <row r="46" spans="1:9" hidden="1" outlineLevel="2">
      <c r="A46" s="24" t="s">
        <v>57</v>
      </c>
      <c r="B46" s="2" t="s">
        <v>58</v>
      </c>
      <c r="C46" s="2" t="s">
        <v>16</v>
      </c>
      <c r="D46" s="2" t="s">
        <v>59</v>
      </c>
      <c r="E46" s="39" t="str">
        <f>VLOOKUP($D46,PRECIOS_REFERENCIAS!A$3:D$90,2,FALSE)</f>
        <v xml:space="preserve">SWITCH SHDSL 1 PUERTO </v>
      </c>
      <c r="F46" s="3">
        <v>1</v>
      </c>
      <c r="G46" s="2" t="s">
        <v>18</v>
      </c>
      <c r="H46" s="40">
        <f>VLOOKUP($D46,PRECIOS_REFERENCIAS!A$3:D$90,4,FALSE)</f>
        <v>828</v>
      </c>
      <c r="I46" s="6">
        <f>H46*F46</f>
        <v>828</v>
      </c>
    </row>
    <row r="47" spans="1:9" hidden="1" outlineLevel="2">
      <c r="A47" s="24"/>
      <c r="B47" s="2"/>
      <c r="C47" s="38"/>
      <c r="D47" s="2"/>
      <c r="E47" s="5" t="str">
        <f>VLOOKUP($D46,PRECIOS_REFERENCIAS!A$3:D$90,3,FALSE)</f>
        <v>SWITCH XSLAN+1400 O SIMILAR</v>
      </c>
      <c r="F47" s="7"/>
      <c r="G47" s="7"/>
      <c r="H47" s="40"/>
      <c r="I47" s="6"/>
    </row>
    <row r="48" spans="1:9" hidden="1" outlineLevel="2">
      <c r="A48" s="24" t="s">
        <v>60</v>
      </c>
      <c r="B48" s="2" t="s">
        <v>20</v>
      </c>
      <c r="C48" s="2" t="s">
        <v>21</v>
      </c>
      <c r="D48" s="2" t="s">
        <v>61</v>
      </c>
      <c r="E48" s="39" t="str">
        <f>VLOOKUP($D48,PRECIOS_REFERENCIAS!A$3:D$90,2,FALSE)</f>
        <v>INSTALACION SWITCH SHDSL</v>
      </c>
      <c r="F48" s="3">
        <f>F46</f>
        <v>1</v>
      </c>
      <c r="G48" s="2" t="s">
        <v>18</v>
      </c>
      <c r="H48" s="40">
        <f>VLOOKUP($D48,PRECIOS_REFERENCIAS!A$3:D$90,4,FALSE)</f>
        <v>40</v>
      </c>
      <c r="I48" s="6">
        <f>H48*F48</f>
        <v>40</v>
      </c>
    </row>
    <row r="49" spans="1:9" hidden="1" outlineLevel="2">
      <c r="A49" s="23"/>
      <c r="B49" s="2"/>
      <c r="C49" s="2"/>
      <c r="D49" s="2"/>
      <c r="E49" s="5" t="str">
        <f>VLOOKUP($D48,PRECIOS_REFERENCIAS!A$3:D$90,3,FALSE)</f>
        <v>INSTALACIÓN DE ROUTER</v>
      </c>
      <c r="F49" s="3"/>
      <c r="G49" s="2"/>
      <c r="I49" s="6"/>
    </row>
    <row r="50" spans="1:9" hidden="1" outlineLevel="2">
      <c r="A50" s="24" t="s">
        <v>62</v>
      </c>
      <c r="B50" s="2" t="s">
        <v>63</v>
      </c>
      <c r="C50" s="2" t="s">
        <v>16</v>
      </c>
      <c r="D50" s="2" t="s">
        <v>63</v>
      </c>
      <c r="E50" s="39" t="str">
        <f>VLOOKUP($D50,PRECIOS_REFERENCIAS!A$3:D$90,2,FALSE)</f>
        <v>DESCARGADOR DE SOBRETENSIONES LÍNEA SHDSL</v>
      </c>
      <c r="F50" s="3">
        <v>1</v>
      </c>
      <c r="G50" s="2" t="s">
        <v>18</v>
      </c>
      <c r="H50" s="40">
        <f>VLOOKUP($D50,PRECIOS_REFERENCIAS!A$3:D$90,4,FALSE)</f>
        <v>187</v>
      </c>
      <c r="I50" s="6">
        <f>H50*F50</f>
        <v>187</v>
      </c>
    </row>
    <row r="51" spans="1:9" hidden="1" outlineLevel="2">
      <c r="A51" s="24"/>
      <c r="B51" s="2"/>
      <c r="C51" s="38"/>
      <c r="D51" s="2"/>
      <c r="E51" s="5" t="str">
        <f>VLOOKUP($D50,PRECIOS_REFERENCIAS!A$3:D$90,3,FALSE)</f>
        <v>Equipo DT-TELE-SHDSL de Phoenix Contact con 2 puertos para conexión SHDSL</v>
      </c>
      <c r="F51" s="7"/>
      <c r="G51" s="7"/>
      <c r="I51" s="6"/>
    </row>
    <row r="52" spans="1:9" hidden="1" outlineLevel="2">
      <c r="A52" s="24" t="s">
        <v>64</v>
      </c>
      <c r="B52" s="2" t="s">
        <v>20</v>
      </c>
      <c r="C52" s="2" t="s">
        <v>21</v>
      </c>
      <c r="D52" s="2" t="s">
        <v>65</v>
      </c>
      <c r="E52" s="39" t="str">
        <f>VLOOKUP($D52,PRECIOS_REFERENCIAS!A$3:D$90,2,FALSE)</f>
        <v>INSTALACION DESCARGADOR</v>
      </c>
      <c r="F52" s="3">
        <f>F50</f>
        <v>1</v>
      </c>
      <c r="G52" s="2" t="s">
        <v>18</v>
      </c>
      <c r="H52" s="40">
        <f>VLOOKUP($D52,PRECIOS_REFERENCIAS!A$3:D$90,4,FALSE)</f>
        <v>64.403155112394401</v>
      </c>
      <c r="I52" s="6">
        <f>H52*F52</f>
        <v>64.403155112394401</v>
      </c>
    </row>
    <row r="53" spans="1:9" hidden="1" outlineLevel="2">
      <c r="A53" s="23"/>
      <c r="B53" s="2"/>
      <c r="C53" s="2"/>
      <c r="D53" s="2"/>
      <c r="E53" s="5" t="str">
        <f>VLOOKUP($D52,PRECIOS_REFERENCIAS!A$3:D$90,3,FALSE)</f>
        <v>INSTALACIÓN DE PROTECCIÓN CONTRA SOBRETENSIONES</v>
      </c>
      <c r="F53" s="3"/>
      <c r="G53" s="2"/>
      <c r="H53" s="40"/>
      <c r="I53" s="6"/>
    </row>
    <row r="54" spans="1:9" hidden="1" outlineLevel="2">
      <c r="A54" s="24" t="s">
        <v>66</v>
      </c>
      <c r="B54" s="2" t="s">
        <v>67</v>
      </c>
      <c r="C54" s="2" t="s">
        <v>16</v>
      </c>
      <c r="D54" s="2" t="s">
        <v>67</v>
      </c>
      <c r="E54" s="39" t="str">
        <f>VLOOKUP($D54,PRECIOS_REFERENCIAS!A$3:D$90,2,FALSE)</f>
        <v>ROUTER VPN 4G</v>
      </c>
      <c r="F54" s="3">
        <v>1</v>
      </c>
      <c r="G54" s="2" t="s">
        <v>18</v>
      </c>
      <c r="H54" s="40">
        <f>VLOOKUP($D54,PRECIOS_REFERENCIAS!A$3:D$90,4,FALSE)</f>
        <v>560.25</v>
      </c>
      <c r="I54" s="6">
        <f>H54*F54</f>
        <v>560.25</v>
      </c>
    </row>
    <row r="55" spans="1:9" hidden="1" outlineLevel="2">
      <c r="A55" s="24"/>
      <c r="B55" s="2"/>
      <c r="C55" s="38"/>
      <c r="D55" s="2"/>
      <c r="E55" s="5" t="str">
        <f>VLOOKUP($D54,PRECIOS_REFERENCIAS!A$3:D$90,3,FALSE)</f>
        <v>ROUTER IPL-C-100-LW O SIMILAR</v>
      </c>
      <c r="F55" s="7"/>
      <c r="G55" s="7"/>
      <c r="H55" s="40"/>
      <c r="I55" s="6"/>
    </row>
    <row r="56" spans="1:9" hidden="1" outlineLevel="2">
      <c r="A56" s="24" t="s">
        <v>68</v>
      </c>
      <c r="B56" s="2" t="s">
        <v>20</v>
      </c>
      <c r="C56" s="2" t="s">
        <v>21</v>
      </c>
      <c r="D56" s="2" t="s">
        <v>69</v>
      </c>
      <c r="E56" s="39" t="str">
        <f>VLOOKUP($D56,PRECIOS_REFERENCIAS!A$3:D$90,2,FALSE)</f>
        <v>INSTALACION ROUTER 4G</v>
      </c>
      <c r="F56" s="3">
        <f>F54</f>
        <v>1</v>
      </c>
      <c r="G56" s="2" t="s">
        <v>18</v>
      </c>
      <c r="H56" s="40">
        <f>VLOOKUP($D56,PRECIOS_REFERENCIAS!A$3:D$90,4,FALSE)</f>
        <v>40</v>
      </c>
      <c r="I56" s="6">
        <f>H56*F56</f>
        <v>40</v>
      </c>
    </row>
    <row r="57" spans="1:9" hidden="1" outlineLevel="2">
      <c r="A57" s="23"/>
      <c r="B57" s="2"/>
      <c r="C57" s="2"/>
      <c r="D57" s="2"/>
      <c r="E57" s="5" t="str">
        <f>VLOOKUP($D56,PRECIOS_REFERENCIAS!A$3:D$90,3,FALSE)</f>
        <v>INSTALACIÓN DE ROUTER 4G</v>
      </c>
      <c r="F57" s="3"/>
      <c r="G57" s="2"/>
      <c r="I57" s="6"/>
    </row>
    <row r="58" spans="1:9" hidden="1" outlineLevel="2">
      <c r="A58" s="24" t="s">
        <v>70</v>
      </c>
      <c r="B58" s="2" t="s">
        <v>71</v>
      </c>
      <c r="C58" s="2" t="s">
        <v>16</v>
      </c>
      <c r="D58" s="2" t="s">
        <v>71</v>
      </c>
      <c r="E58" s="39" t="str">
        <f>VLOOKUP($D58,PRECIOS_REFERENCIAS!A$3:D$90,2,FALSE)</f>
        <v>ANTENA 4G CON CABLE DE 5 METROS Y KIT MONTAJE ANTENA</v>
      </c>
      <c r="F58" s="3">
        <v>1</v>
      </c>
      <c r="G58" s="2" t="s">
        <v>18</v>
      </c>
      <c r="H58" s="40">
        <f>VLOOKUP($D58,PRECIOS_REFERENCIAS!A$3:D$90,4,FALSE)</f>
        <v>152.67857142857142</v>
      </c>
      <c r="I58" s="6">
        <f>H58*F58</f>
        <v>152.67857142857142</v>
      </c>
    </row>
    <row r="59" spans="1:9" hidden="1" outlineLevel="2">
      <c r="A59" s="24"/>
      <c r="C59" s="38"/>
      <c r="E59" s="5" t="str">
        <f>VLOOKUP($D58,PRECIOS_REFERENCIAS!A$3:D$90,3,FALSE)</f>
        <v>ANTENA 310 + KIT MONTAJE ANTENA 310</v>
      </c>
      <c r="I59" s="6"/>
    </row>
    <row r="60" spans="1:9" hidden="1" outlineLevel="2">
      <c r="A60" s="24" t="s">
        <v>72</v>
      </c>
      <c r="B60" s="2" t="s">
        <v>20</v>
      </c>
      <c r="C60" s="2" t="s">
        <v>21</v>
      </c>
      <c r="D60" s="2" t="s">
        <v>73</v>
      </c>
      <c r="E60" s="39" t="str">
        <f>VLOOKUP($D60,PRECIOS_REFERENCIAS!A$3:D$90,2,FALSE)</f>
        <v>INSTALACION ANTENA EXTERIOR</v>
      </c>
      <c r="F60" s="3">
        <f>F58</f>
        <v>1</v>
      </c>
      <c r="G60" s="2" t="s">
        <v>18</v>
      </c>
      <c r="H60" s="40">
        <f>VLOOKUP($D60,PRECIOS_REFERENCIAS!A$3:D$90,4,FALSE)</f>
        <v>149.03086772191051</v>
      </c>
      <c r="I60" s="6">
        <f>H60*F60</f>
        <v>149.03086772191051</v>
      </c>
    </row>
    <row r="61" spans="1:9" hidden="1" outlineLevel="2">
      <c r="A61" s="23"/>
      <c r="B61" s="2"/>
      <c r="C61" s="2"/>
      <c r="D61" s="2"/>
      <c r="E61" s="5" t="str">
        <f>VLOOKUP($D60,PRECIOS_REFERENCIAS!A$3:D$90,3,FALSE)</f>
        <v>INSTALACIÓN DE ANTENA EXTERIOR + KIT</v>
      </c>
      <c r="F61" s="3"/>
      <c r="G61" s="2"/>
      <c r="H61" s="40"/>
      <c r="I61" s="6"/>
    </row>
    <row r="62" spans="1:9" hidden="1" outlineLevel="2">
      <c r="A62" s="24" t="s">
        <v>74</v>
      </c>
      <c r="B62" s="2" t="s">
        <v>75</v>
      </c>
      <c r="C62" s="2" t="s">
        <v>16</v>
      </c>
      <c r="D62" s="2" t="s">
        <v>75</v>
      </c>
      <c r="E62" s="39" t="str">
        <f>VLOOKUP($D62,PRECIOS_REFERENCIAS!A$3:D$90,2,FALSE)</f>
        <v>SUMINISTRO SWITCH 5P</v>
      </c>
      <c r="F62" s="3">
        <v>1</v>
      </c>
      <c r="G62" s="2" t="s">
        <v>18</v>
      </c>
      <c r="H62" s="40">
        <f>VLOOKUP($D62,PRECIOS_REFERENCIAS!A$3:D$90,4,FALSE)</f>
        <v>97.65</v>
      </c>
      <c r="I62" s="6">
        <f>H62*F62</f>
        <v>97.65</v>
      </c>
    </row>
    <row r="63" spans="1:9" hidden="1" outlineLevel="2">
      <c r="A63" s="24"/>
      <c r="B63" s="2"/>
      <c r="C63" s="38"/>
      <c r="D63" s="2"/>
      <c r="E63" s="5" t="str">
        <f>VLOOKUP($D62,PRECIOS_REFERENCIAS!A$3:D$90,3,FALSE)</f>
        <v>SwitchNOGest_5x100TXRJ45 / MCSESU053FN0</v>
      </c>
      <c r="F63" s="7"/>
      <c r="G63" s="7"/>
      <c r="H63" s="40"/>
      <c r="I63" s="6"/>
    </row>
    <row r="64" spans="1:9" hidden="1" outlineLevel="2">
      <c r="A64" s="24" t="s">
        <v>76</v>
      </c>
      <c r="B64" s="2" t="s">
        <v>20</v>
      </c>
      <c r="C64" s="2" t="s">
        <v>21</v>
      </c>
      <c r="D64" s="2" t="s">
        <v>77</v>
      </c>
      <c r="E64" s="39" t="str">
        <f>VLOOKUP($D64,PRECIOS_REFERENCIAS!A$3:D$90,2,FALSE)</f>
        <v>INSTALACION SWITCH</v>
      </c>
      <c r="F64" s="3">
        <f>F62</f>
        <v>1</v>
      </c>
      <c r="G64" s="2" t="s">
        <v>18</v>
      </c>
      <c r="H64" s="40">
        <f>VLOOKUP($D64,PRECIOS_REFERENCIAS!A$3:D$90,4,FALSE)</f>
        <v>40</v>
      </c>
      <c r="I64" s="6">
        <f>H64*F64</f>
        <v>40</v>
      </c>
    </row>
    <row r="65" spans="1:9" hidden="1" outlineLevel="2">
      <c r="A65" s="23"/>
      <c r="B65" s="2"/>
      <c r="C65" s="2"/>
      <c r="D65" s="2"/>
      <c r="E65" s="5" t="str">
        <f>VLOOKUP($D64,PRECIOS_REFERENCIAS!A$3:D$90,3,FALSE)</f>
        <v>INSTALACIÓN DE SWITCH</v>
      </c>
      <c r="F65" s="3"/>
      <c r="G65" s="2"/>
      <c r="I65" s="6"/>
    </row>
    <row r="66" spans="1:9" hidden="1" outlineLevel="2">
      <c r="A66" s="24" t="s">
        <v>78</v>
      </c>
      <c r="B66" s="2" t="s">
        <v>79</v>
      </c>
      <c r="C66" s="2" t="s">
        <v>80</v>
      </c>
      <c r="D66" s="2" t="s">
        <v>81</v>
      </c>
      <c r="E66" s="39" t="str">
        <f>VLOOKUP($D66,PRECIOS_REFERENCIAS!A$3:D$90,2,FALSE)</f>
        <v>PLANIFICACION</v>
      </c>
      <c r="F66" s="3">
        <f>F60</f>
        <v>1</v>
      </c>
      <c r="G66" s="2" t="s">
        <v>18</v>
      </c>
      <c r="H66" s="40">
        <f>VLOOKUP($D66,PRECIOS_REFERENCIAS!A$3:D$90,4,FALSE)</f>
        <v>40</v>
      </c>
      <c r="I66" s="6">
        <f>H66*F66</f>
        <v>40</v>
      </c>
    </row>
    <row r="67" spans="1:9" hidden="1" outlineLevel="2">
      <c r="A67" s="24"/>
      <c r="B67" s="2"/>
      <c r="C67" s="2"/>
      <c r="D67" s="2"/>
      <c r="E67" s="5" t="str">
        <f>VLOOKUP($D66,PRECIOS_REFERENCIAS!A$3:D$90,3,FALSE)</f>
        <v>PLANIFICACIÓN DE LOS TRABAJOS Y DESCARGA EN LOCAL DEL PROGRAMA DEL PLC</v>
      </c>
      <c r="F67" s="3"/>
      <c r="G67" s="2"/>
      <c r="H67" s="40"/>
      <c r="I67" s="6"/>
    </row>
    <row r="68" spans="1:9" hidden="1" outlineLevel="2">
      <c r="A68" s="24" t="s">
        <v>82</v>
      </c>
      <c r="B68" s="2" t="s">
        <v>83</v>
      </c>
      <c r="C68" s="2" t="s">
        <v>80</v>
      </c>
      <c r="D68" s="2" t="s">
        <v>80</v>
      </c>
      <c r="E68" s="39" t="str">
        <f>VLOOKUP($D68,PRECIOS_REFERENCIAS!A$3:D$90,2,FALSE)</f>
        <v>INGENIERIA + ESQUEMAS</v>
      </c>
      <c r="F68" s="3">
        <f>F66</f>
        <v>1</v>
      </c>
      <c r="G68" s="2" t="s">
        <v>18</v>
      </c>
      <c r="H68" s="40">
        <f>VLOOKUP($D68,PRECIOS_REFERENCIAS!A$3:D$90,4,FALSE)</f>
        <v>300</v>
      </c>
      <c r="I68" s="6">
        <f>H68*F68</f>
        <v>300</v>
      </c>
    </row>
    <row r="69" spans="1:9" ht="22.5" hidden="1" outlineLevel="2">
      <c r="A69" s="23"/>
      <c r="B69" s="2"/>
      <c r="C69" s="2"/>
      <c r="D69" s="2"/>
      <c r="E69" s="5" t="str">
        <f>VLOOKUP($D68,PRECIOS_REFERENCIAS!A$3:D$90,3,FALSE)</f>
        <v>INGENIERÍA DE ACTUALIZACIÓN DE ESQUEMAS ELÉCTRICOS. INCLUYE LA REVISIÓN LOCAL DE LOS CUADROS Y ELEMENTOS DE CONTROL, ASÍ COMO LA COMPROBACIÓN DE LAS SEÑALES DE CONTROL.</v>
      </c>
      <c r="F69" s="3"/>
      <c r="G69" s="2"/>
      <c r="I69" s="6"/>
    </row>
    <row r="70" spans="1:9" hidden="1" outlineLevel="2">
      <c r="A70" s="24" t="s">
        <v>84</v>
      </c>
      <c r="B70" s="2" t="s">
        <v>85</v>
      </c>
      <c r="C70" s="2" t="s">
        <v>80</v>
      </c>
      <c r="D70" s="2" t="s">
        <v>86</v>
      </c>
      <c r="E70" s="39" t="str">
        <f>VLOOKUP($D70,PRECIOS_REFERENCIAS!A$3:D$90,2,FALSE)</f>
        <v>REVISION PROGRAMA PLC</v>
      </c>
      <c r="F70" s="3">
        <f>F68</f>
        <v>1</v>
      </c>
      <c r="G70" s="2" t="s">
        <v>18</v>
      </c>
      <c r="H70" s="40">
        <f>VLOOKUP($D70,PRECIOS_REFERENCIAS!A$3:D$90,4,FALSE)</f>
        <v>60</v>
      </c>
      <c r="I70" s="6">
        <f>H70*F70</f>
        <v>60</v>
      </c>
    </row>
    <row r="71" spans="1:9" hidden="1" outlineLevel="2">
      <c r="A71" s="24"/>
      <c r="B71" s="2"/>
      <c r="C71" s="2"/>
      <c r="D71" s="2"/>
      <c r="E71" s="5" t="str">
        <f>VLOOKUP($D70,PRECIOS_REFERENCIAS!A$3:D$90,3,FALSE)</f>
        <v>REVISIÓN DEL PROGRAMA DE CONTROL Y DEFINICIÓN DE LA FUNCIONALIDAD DEL MISMO, DE ACUERDO A LA DIRECCIÓN  CAG</v>
      </c>
      <c r="F71" s="3"/>
      <c r="G71" s="2"/>
      <c r="H71" s="40"/>
      <c r="I71" s="6"/>
    </row>
    <row r="72" spans="1:9" hidden="1" outlineLevel="2">
      <c r="A72" s="24" t="s">
        <v>87</v>
      </c>
      <c r="B72" s="2" t="s">
        <v>88</v>
      </c>
      <c r="C72" s="2" t="s">
        <v>80</v>
      </c>
      <c r="D72" s="2" t="s">
        <v>89</v>
      </c>
      <c r="E72" s="39" t="str">
        <f>VLOOKUP($D72,PRECIOS_REFERENCIAS!A$3:D$90,2,FALSE)</f>
        <v>PROGRAMA PLC NUEVO</v>
      </c>
      <c r="F72" s="3">
        <f>F70</f>
        <v>1</v>
      </c>
      <c r="G72" s="2" t="s">
        <v>18</v>
      </c>
      <c r="H72" s="40">
        <f>VLOOKUP($D72,PRECIOS_REFERENCIAS!A$3:D$90,4,FALSE)</f>
        <v>407.75660964439658</v>
      </c>
      <c r="I72" s="6">
        <f>H72*F72</f>
        <v>407.75660964439658</v>
      </c>
    </row>
    <row r="73" spans="1:9" hidden="1" outlineLevel="2">
      <c r="A73" s="23"/>
      <c r="B73" s="2"/>
      <c r="C73" s="2"/>
      <c r="D73" s="2"/>
      <c r="E73" s="5" t="str">
        <f>VLOOKUP($D72,PRECIOS_REFERENCIAS!A$3:D$90,3,FALSE)</f>
        <v>MIGRACION DEL PROGRAMA ACTUAL A LA NUEVA PLATAFORMA DE PROGRAMACION</v>
      </c>
      <c r="I73" s="6"/>
    </row>
    <row r="74" spans="1:9" hidden="1" outlineLevel="2">
      <c r="A74" s="24" t="s">
        <v>90</v>
      </c>
      <c r="B74" s="2" t="s">
        <v>91</v>
      </c>
      <c r="C74" s="2" t="s">
        <v>80</v>
      </c>
      <c r="D74" s="2" t="s">
        <v>92</v>
      </c>
      <c r="E74" s="39" t="str">
        <f>VLOOKUP($D74,PRECIOS_REFERENCIAS!A$3:D$90,2,FALSE)</f>
        <v>PROGRAMA HMI</v>
      </c>
      <c r="F74" s="3">
        <f>F70</f>
        <v>1</v>
      </c>
      <c r="G74" s="2" t="s">
        <v>18</v>
      </c>
      <c r="H74" s="40">
        <f>VLOOKUP($D74,PRECIOS_REFERENCIAS!A$3:D$90,4,FALSE)</f>
        <v>340</v>
      </c>
      <c r="I74" s="6">
        <f>H74*F74</f>
        <v>340</v>
      </c>
    </row>
    <row r="75" spans="1:9" hidden="1" outlineLevel="2">
      <c r="A75" s="24"/>
      <c r="B75" s="2"/>
      <c r="C75" s="2"/>
      <c r="D75" s="2"/>
      <c r="E75" s="5" t="str">
        <f>VLOOKUP($D74,PRECIOS_REFERENCIAS!A$3:D$90,3,FALSE)</f>
        <v xml:space="preserve">PROGRAMACION DE LA NUEVA PANTALLA HMI </v>
      </c>
      <c r="F75" s="3"/>
      <c r="G75" s="2"/>
      <c r="H75" s="40"/>
      <c r="I75" s="6"/>
    </row>
    <row r="76" spans="1:9" hidden="1" outlineLevel="2">
      <c r="A76" s="24" t="s">
        <v>93</v>
      </c>
      <c r="B76" s="2" t="s">
        <v>94</v>
      </c>
      <c r="C76" s="2" t="s">
        <v>80</v>
      </c>
      <c r="D76" s="2" t="s">
        <v>95</v>
      </c>
      <c r="E76" s="39" t="str">
        <f>VLOOKUP($D76,PRECIOS_REFERENCIAS!A$3:D$90,2,FALSE)</f>
        <v>PEM REMOTA</v>
      </c>
      <c r="F76" s="3">
        <f>F72</f>
        <v>1</v>
      </c>
      <c r="G76" s="2" t="s">
        <v>18</v>
      </c>
      <c r="H76" s="40">
        <f>VLOOKUP($D76,PRECIOS_REFERENCIAS!A$3:D$90,4,FALSE)</f>
        <v>851.7</v>
      </c>
      <c r="I76" s="6">
        <f>H76*F76</f>
        <v>851.7</v>
      </c>
    </row>
    <row r="77" spans="1:9" hidden="1" outlineLevel="2">
      <c r="A77" s="23"/>
      <c r="B77" s="2"/>
      <c r="C77" s="2"/>
      <c r="D77" s="2"/>
      <c r="E77" s="5" t="str">
        <f>VLOOKUP($D76,PRECIOS_REFERENCIAS!A$3:D$90,3,FALSE)</f>
        <v>PUESTA EN MARCHA DEL PROGRAMA DE CONTROL LOCAL</v>
      </c>
      <c r="F77" s="3"/>
      <c r="G77" s="2"/>
      <c r="H77" s="40"/>
      <c r="I77" s="6"/>
    </row>
    <row r="78" spans="1:9" hidden="1" outlineLevel="2">
      <c r="A78" s="24" t="s">
        <v>96</v>
      </c>
      <c r="B78" s="2" t="s">
        <v>97</v>
      </c>
      <c r="C78" s="2" t="s">
        <v>80</v>
      </c>
      <c r="D78" s="2" t="s">
        <v>98</v>
      </c>
      <c r="E78" s="39" t="str">
        <f>VLOOKUP($D78,PRECIOS_REFERENCIAS!A$3:D$90,2,FALSE)</f>
        <v>REVISION SCADA</v>
      </c>
      <c r="F78" s="3">
        <f>F76</f>
        <v>1</v>
      </c>
      <c r="G78" s="2" t="s">
        <v>18</v>
      </c>
      <c r="H78" s="40">
        <f>VLOOKUP($D78,PRECIOS_REFERENCIAS!A$3:D$90,4,FALSE)</f>
        <v>60</v>
      </c>
      <c r="I78" s="6">
        <f>H78*F78</f>
        <v>60</v>
      </c>
    </row>
    <row r="79" spans="1:9" hidden="1" outlineLevel="2">
      <c r="A79" s="24"/>
      <c r="B79" s="2"/>
      <c r="C79" s="2"/>
      <c r="D79" s="2"/>
      <c r="E79" s="5" t="str">
        <f>VLOOKUP($D78,PRECIOS_REFERENCIAS!A$3:D$90,3,FALSE)</f>
        <v>REVISIÓN DEL PROGRAMA DE SUPERVISIÓN SCADA</v>
      </c>
      <c r="I79" s="6"/>
    </row>
    <row r="80" spans="1:9" hidden="1" outlineLevel="2">
      <c r="A80" s="23"/>
      <c r="B80" s="2"/>
      <c r="C80" s="2" t="s">
        <v>16</v>
      </c>
      <c r="D80" s="2"/>
      <c r="E80" s="76" t="str">
        <f>CONCATENATE(E5," - TOTAL HARDWARE")</f>
        <v>ER1 PRESA   - TOTAL HARDWARE</v>
      </c>
      <c r="F80" s="74"/>
      <c r="G80" s="74"/>
      <c r="H80" s="74"/>
      <c r="I80" s="75">
        <f>SUM(I6+I10+I12+I16+I18+I22+I24+I28+I30+I34+I36+I40+I42+I46+I50+I54+I58+I62)</f>
        <v>9907.3860714285693</v>
      </c>
    </row>
    <row r="81" spans="1:10" hidden="1" outlineLevel="2">
      <c r="A81" s="23"/>
      <c r="B81" s="2"/>
      <c r="C81" s="2" t="s">
        <v>21</v>
      </c>
      <c r="D81" s="2"/>
      <c r="E81" s="76" t="str">
        <f>CONCATENATE(E5," - TOTAL INSTALACION")</f>
        <v>ER1 PRESA   - TOTAL INSTALACION</v>
      </c>
      <c r="F81" s="74"/>
      <c r="G81" s="74"/>
      <c r="H81" s="74"/>
      <c r="I81" s="75">
        <f>I8+I14+I20+I26+I32+I38+I44+I48+I52+I56+I60+I64</f>
        <v>1901.7207154591288</v>
      </c>
    </row>
    <row r="82" spans="1:10" hidden="1" outlineLevel="2">
      <c r="A82" s="23"/>
      <c r="B82" s="2"/>
      <c r="C82" s="2" t="s">
        <v>80</v>
      </c>
      <c r="D82" s="2"/>
      <c r="E82" s="76" t="str">
        <f>CONCATENATE(E5," - TOTAL INGENIERIA")</f>
        <v>ER1 PRESA   - TOTAL INGENIERIA</v>
      </c>
      <c r="F82" s="74"/>
      <c r="G82" s="74"/>
      <c r="H82" s="74"/>
      <c r="I82" s="75">
        <f>I66+I68+I70+I72+I74+I76+I78</f>
        <v>2059.4566096443968</v>
      </c>
      <c r="J82" s="22">
        <f>SUM(I80:I82)</f>
        <v>13868.563396532096</v>
      </c>
    </row>
    <row r="83" spans="1:10" hidden="1" outlineLevel="2">
      <c r="E83" s="41" t="str">
        <f>CONCATENATE("TOTAL ",A5)</f>
        <v>TOTAL  SUBCAPÍTULO 01.01</v>
      </c>
      <c r="F83" s="41"/>
      <c r="G83" s="41"/>
      <c r="H83" s="41"/>
      <c r="I83" s="42">
        <f>SUM(I6:I79)</f>
        <v>13868.563396532096</v>
      </c>
    </row>
    <row r="84" spans="1:10" hidden="1" outlineLevel="1">
      <c r="A84" s="44" t="s">
        <v>99</v>
      </c>
      <c r="B84" s="44"/>
      <c r="C84" s="44"/>
      <c r="D84" s="44"/>
      <c r="E84" s="43" t="s">
        <v>100</v>
      </c>
      <c r="F84" s="44"/>
      <c r="G84" s="44" t="s">
        <v>11</v>
      </c>
      <c r="H84" s="45"/>
      <c r="I84" s="64">
        <f>I118</f>
        <v>3819.5943578506367</v>
      </c>
    </row>
    <row r="85" spans="1:10" hidden="1" outlineLevel="2">
      <c r="A85" s="24" t="s">
        <v>101</v>
      </c>
      <c r="B85" s="2" t="s">
        <v>15</v>
      </c>
      <c r="C85" s="2" t="s">
        <v>16</v>
      </c>
      <c r="D85" s="2" t="s">
        <v>15</v>
      </c>
      <c r="E85" s="39" t="str">
        <f>VLOOKUP($D85,PRECIOS_REFERENCIAS!A$3:D$90,2,FALSE)</f>
        <v xml:space="preserve">CARRIL DIN </v>
      </c>
      <c r="F85" s="3">
        <v>1</v>
      </c>
      <c r="G85" s="2" t="s">
        <v>18</v>
      </c>
      <c r="H85" s="40">
        <f>VLOOKUP($D85,PRECIOS_REFERENCIAS!A$3:D$90,4,FALSE)</f>
        <v>2.6481182073295662</v>
      </c>
      <c r="I85" s="6">
        <f>H85*F85</f>
        <v>2.6481182073295662</v>
      </c>
    </row>
    <row r="86" spans="1:10" hidden="1" outlineLevel="2">
      <c r="A86" s="23"/>
      <c r="B86" s="2"/>
      <c r="C86" s="2"/>
      <c r="D86" s="2"/>
      <c r="E86" s="5" t="str">
        <f>VLOOKUP($D85,PRECIOS_REFERENCIAS!A$3:D$90,3,FALSE)</f>
        <v>CARRIL DIN PARA REMOTA S7-1200</v>
      </c>
      <c r="F86" s="3"/>
      <c r="G86" s="2"/>
      <c r="H86" s="40"/>
      <c r="I86" s="6"/>
    </row>
    <row r="87" spans="1:10" hidden="1" outlineLevel="2">
      <c r="A87" s="24" t="s">
        <v>102</v>
      </c>
      <c r="B87" s="2" t="s">
        <v>20</v>
      </c>
      <c r="C87" s="2" t="s">
        <v>21</v>
      </c>
      <c r="D87" s="2" t="s">
        <v>22</v>
      </c>
      <c r="E87" s="39" t="str">
        <f>VLOOKUP($D87,PRECIOS_REFERENCIAS!A$3:D$90,2,FALSE)</f>
        <v xml:space="preserve">INSTALACION CARRIL DIN </v>
      </c>
      <c r="F87" s="3">
        <v>1</v>
      </c>
      <c r="G87" s="2" t="s">
        <v>18</v>
      </c>
      <c r="H87" s="40">
        <f>VLOOKUP($D87,PRECIOS_REFERENCIAS!A$3:D$90,4,FALSE)</f>
        <v>35.402252939916011</v>
      </c>
      <c r="I87" s="6">
        <f>H87*F87</f>
        <v>35.402252939916011</v>
      </c>
    </row>
    <row r="88" spans="1:10" hidden="1" outlineLevel="2">
      <c r="A88" s="23"/>
      <c r="B88" s="2"/>
      <c r="C88" s="2"/>
      <c r="D88" s="2"/>
      <c r="E88" s="5" t="str">
        <f>VLOOKUP($D87,PRECIOS_REFERENCIAS!A$3:D$90,3,FALSE)</f>
        <v>SUSTITUCIÓN DE PERFIL SOPORTE DE PLC EXISTENTE POR NUEVO PERFIL DE PLC DEFINIDO, DENTRO DEL ARMARIO ELÉCTRICO ACTUAL.</v>
      </c>
      <c r="F88" s="3"/>
      <c r="G88" s="2"/>
      <c r="H88" s="40"/>
      <c r="I88" s="6"/>
    </row>
    <row r="89" spans="1:10" hidden="1" outlineLevel="2">
      <c r="A89" s="24" t="s">
        <v>103</v>
      </c>
      <c r="B89" s="2" t="s">
        <v>104</v>
      </c>
      <c r="C89" s="2" t="s">
        <v>16</v>
      </c>
      <c r="D89" s="2" t="s">
        <v>105</v>
      </c>
      <c r="E89" s="39" t="str">
        <f>VLOOKUP($D89,PRECIOS_REFERENCIAS!A$3:D$48,2,FALSE)</f>
        <v>SUMINISTRO DE ET200MP</v>
      </c>
      <c r="F89" s="3">
        <v>1</v>
      </c>
      <c r="G89" s="2" t="s">
        <v>18</v>
      </c>
      <c r="H89" s="40">
        <f>VLOOKUP($D89,PRECIOS_REFERENCIAS!A$3:D$48,4,FALSE)</f>
        <v>416.92499999999995</v>
      </c>
      <c r="I89" s="6">
        <f>H89*F89</f>
        <v>416.92499999999995</v>
      </c>
    </row>
    <row r="90" spans="1:10" hidden="1" outlineLevel="2">
      <c r="A90" s="23"/>
      <c r="B90" s="38"/>
      <c r="C90" s="38"/>
      <c r="D90" s="38"/>
      <c r="E90" s="5" t="str">
        <f>VLOOKUP($D89,PRECIOS_REFERENCIAS!A$3:D$48,3,FALSE)</f>
        <v>SIMATIC ET 200MP, IM 155-5 PN ST // 6ES7155-5AA01-0AB0</v>
      </c>
      <c r="F90" s="7"/>
      <c r="G90" s="7"/>
      <c r="I90" s="6"/>
    </row>
    <row r="91" spans="1:10" hidden="1" outlineLevel="2">
      <c r="A91" s="24" t="s">
        <v>106</v>
      </c>
      <c r="B91" s="2" t="s">
        <v>20</v>
      </c>
      <c r="C91" s="2" t="s">
        <v>21</v>
      </c>
      <c r="D91" s="2" t="s">
        <v>28</v>
      </c>
      <c r="E91" s="39" t="str">
        <f>VLOOKUP($D91,PRECIOS_REFERENCIAS!A$3:D$90,2,FALSE)</f>
        <v>INSTALACION CPU</v>
      </c>
      <c r="F91" s="3">
        <v>1</v>
      </c>
      <c r="G91" s="2" t="s">
        <v>18</v>
      </c>
      <c r="H91" s="40">
        <f>VLOOKUP($D91,PRECIOS_REFERENCIAS!A$3:D$90,4,FALSE)</f>
        <v>123.90076030798227</v>
      </c>
      <c r="I91" s="6">
        <f>H91*F91</f>
        <v>123.90076030798227</v>
      </c>
    </row>
    <row r="92" spans="1:10" hidden="1" outlineLevel="2">
      <c r="A92" s="23"/>
      <c r="B92" s="2"/>
      <c r="C92" s="2"/>
      <c r="D92" s="2"/>
      <c r="E92" s="5" t="str">
        <f>VLOOKUP($D91,PRECIOS_REFERENCIAS!A$3:D$90,3,FALSE)</f>
        <v>SUSTITUCIÓN DE CPU DE PLC EXISTENTE POR NUEVA CPU DE PLC DEFINIDA</v>
      </c>
      <c r="F92" s="3"/>
      <c r="G92" s="2"/>
      <c r="H92" s="40"/>
      <c r="I92" s="6"/>
    </row>
    <row r="93" spans="1:10" hidden="1" outlineLevel="2">
      <c r="A93" s="24" t="s">
        <v>107</v>
      </c>
      <c r="B93" s="2" t="s">
        <v>108</v>
      </c>
      <c r="C93" s="2" t="s">
        <v>16</v>
      </c>
      <c r="D93" s="2" t="s">
        <v>109</v>
      </c>
      <c r="E93" s="39" t="str">
        <f>VLOOKUP($D93,PRECIOS_REFERENCIAS!A$3:D$48,2,FALSE)</f>
        <v>SUMINISTRO MÓDULO DE 32 ENTRADAS DIGITALES</v>
      </c>
      <c r="F93" s="3">
        <v>1</v>
      </c>
      <c r="G93" s="2" t="s">
        <v>18</v>
      </c>
      <c r="H93" s="40">
        <f>VLOOKUP($D93,PRECIOS_REFERENCIAS!A$3:D$48,4,FALSE)</f>
        <v>308.82</v>
      </c>
      <c r="I93" s="6">
        <f>H93*F93</f>
        <v>308.82</v>
      </c>
    </row>
    <row r="94" spans="1:10" hidden="1" outlineLevel="2">
      <c r="A94" s="23"/>
      <c r="B94" s="7"/>
      <c r="C94" s="38"/>
      <c r="D94" s="7"/>
      <c r="E94" s="5" t="str">
        <f>VLOOKUP($D93,PRECIOS_REFERENCIAS!A$3:D$48,3,FALSE)</f>
        <v>S7-1500, DI 32x24VDC HF// 6ES7521-1BL00-0AB0</v>
      </c>
      <c r="F94" s="7"/>
      <c r="G94" s="7"/>
      <c r="I94" s="6"/>
    </row>
    <row r="95" spans="1:10" hidden="1" outlineLevel="2">
      <c r="A95" s="24" t="s">
        <v>110</v>
      </c>
      <c r="B95" s="2" t="s">
        <v>108</v>
      </c>
      <c r="C95" s="2" t="s">
        <v>16</v>
      </c>
      <c r="D95" s="2" t="s">
        <v>111</v>
      </c>
      <c r="E95" s="39" t="str">
        <f>VLOOKUP($D95,PRECIOS_REFERENCIAS!A$3:D$48,2,FALSE)</f>
        <v>SUMINISTRO ENCHUFE FRONTAL</v>
      </c>
      <c r="F95" s="3">
        <f>F93</f>
        <v>1</v>
      </c>
      <c r="G95" s="2" t="s">
        <v>18</v>
      </c>
      <c r="H95" s="40">
        <f>VLOOKUP($D95,PRECIOS_REFERENCIAS!A$3:D$48,4,FALSE)</f>
        <v>34.987499999999997</v>
      </c>
      <c r="I95" s="6">
        <f>H95*F95</f>
        <v>34.987499999999997</v>
      </c>
    </row>
    <row r="96" spans="1:10" hidden="1" outlineLevel="2">
      <c r="A96" s="23"/>
      <c r="B96" s="7"/>
      <c r="C96" s="38"/>
      <c r="D96" s="7"/>
      <c r="E96" s="5" t="str">
        <f>VLOOKUP($D95,PRECIOS_REFERENCIAS!A$3:D$48,3,FALSE)</f>
        <v>Enchufe frontal Push-in (mód. de 35mm) // 6ES7592-1BM00-0XB0</v>
      </c>
      <c r="F96" s="7"/>
      <c r="G96" s="7"/>
      <c r="I96" s="6"/>
    </row>
    <row r="97" spans="1:9" hidden="1" outlineLevel="2">
      <c r="A97" s="24" t="s">
        <v>112</v>
      </c>
      <c r="B97" s="2" t="s">
        <v>20</v>
      </c>
      <c r="C97" s="2" t="s">
        <v>21</v>
      </c>
      <c r="D97" s="2" t="s">
        <v>35</v>
      </c>
      <c r="E97" s="39" t="str">
        <f>VLOOKUP($D97,PRECIOS_REFERENCIAS!A$3:D$90,2,FALSE)</f>
        <v>INSTALACION ED</v>
      </c>
      <c r="F97" s="3">
        <f>F95</f>
        <v>1</v>
      </c>
      <c r="G97" s="2" t="s">
        <v>18</v>
      </c>
      <c r="H97" s="40">
        <f>VLOOKUP($D97,PRECIOS_REFERENCIAS!A$3:D$90,4,FALSE)</f>
        <v>161.97310014887609</v>
      </c>
      <c r="I97" s="6">
        <f>H97*F97</f>
        <v>161.97310014887609</v>
      </c>
    </row>
    <row r="98" spans="1:9" hidden="1" outlineLevel="2">
      <c r="A98" s="23"/>
      <c r="B98" s="2"/>
      <c r="C98" s="7"/>
      <c r="D98" s="2"/>
      <c r="E98" s="5" t="str">
        <f>VLOOKUP($D97,PRECIOS_REFERENCIAS!A$3:D$90,3,FALSE)</f>
        <v>SUSTITUCIÓN DE MÓDULO DE E/S DIGITALES DE PLC EXISTENTE POR NUEVO MÓDULO DE PLC DEFINIDO. ENTRADA DIGITAL 16</v>
      </c>
      <c r="F98" s="3"/>
      <c r="G98" s="2"/>
      <c r="H98" s="40"/>
      <c r="I98" s="6"/>
    </row>
    <row r="99" spans="1:9" hidden="1" outlineLevel="2">
      <c r="A99" s="24" t="s">
        <v>113</v>
      </c>
      <c r="B99" s="2" t="s">
        <v>114</v>
      </c>
      <c r="C99" s="2" t="s">
        <v>16</v>
      </c>
      <c r="D99" s="2" t="s">
        <v>115</v>
      </c>
      <c r="E99" s="39" t="str">
        <f>VLOOKUP($D99,PRECIOS_REFERENCIAS!A$3:D$48,2,FALSE)</f>
        <v>SUMINISTRO MÓDULO DE 8 ENTRADAS ANALÓGICAS</v>
      </c>
      <c r="F99" s="3">
        <v>1</v>
      </c>
      <c r="G99" s="2" t="s">
        <v>18</v>
      </c>
      <c r="H99" s="40">
        <f>VLOOKUP($D99,PRECIOS_REFERENCIAS!A$3:D$48,4,FALSE)</f>
        <v>803.31</v>
      </c>
      <c r="I99" s="6">
        <f>H99*F99</f>
        <v>803.31</v>
      </c>
    </row>
    <row r="100" spans="1:9" hidden="1" outlineLevel="2">
      <c r="A100" s="23"/>
      <c r="B100" s="7"/>
      <c r="C100" s="7"/>
      <c r="D100" s="7"/>
      <c r="E100" s="5" t="str">
        <f>VLOOKUP($D99,PRECIOS_REFERENCIAS!A$3:D$48,3,FALSE)</f>
        <v>SIMATIC S7-1500, módulo de entradas analógicas AI 8xU/I HF //6ES7531-7PF00-0AB0</v>
      </c>
      <c r="F100" s="7"/>
      <c r="G100" s="7"/>
      <c r="I100" s="6"/>
    </row>
    <row r="101" spans="1:9" hidden="1" outlineLevel="2">
      <c r="A101" s="24" t="s">
        <v>116</v>
      </c>
      <c r="B101" s="2" t="s">
        <v>108</v>
      </c>
      <c r="C101" s="2" t="s">
        <v>16</v>
      </c>
      <c r="D101" s="2" t="s">
        <v>111</v>
      </c>
      <c r="E101" s="39" t="str">
        <f>VLOOKUP($D101,PRECIOS_REFERENCIAS!A$3:D$48,2,FALSE)</f>
        <v>SUMINISTRO ENCHUFE FRONTAL</v>
      </c>
      <c r="F101" s="3">
        <f>F99</f>
        <v>1</v>
      </c>
      <c r="G101" s="2" t="s">
        <v>18</v>
      </c>
      <c r="H101" s="40">
        <f>VLOOKUP($D101,PRECIOS_REFERENCIAS!A$3:D$48,4,FALSE)</f>
        <v>34.987499999999997</v>
      </c>
      <c r="I101" s="6">
        <f>H101*F101</f>
        <v>34.987499999999997</v>
      </c>
    </row>
    <row r="102" spans="1:9" hidden="1" outlineLevel="2">
      <c r="A102" s="23"/>
      <c r="B102" s="7"/>
      <c r="C102" s="38"/>
      <c r="D102" s="7"/>
      <c r="E102" s="5" t="str">
        <f>VLOOKUP($D101,PRECIOS_REFERENCIAS!A$3:D$48,3,FALSE)</f>
        <v>Enchufe frontal Push-in (mód. de 35mm) // 6ES7592-1BM00-0XB0</v>
      </c>
      <c r="F102" s="7"/>
      <c r="G102" s="7"/>
      <c r="I102" s="6"/>
    </row>
    <row r="103" spans="1:9" hidden="1" outlineLevel="2">
      <c r="A103" s="24" t="s">
        <v>117</v>
      </c>
      <c r="B103" s="2" t="s">
        <v>20</v>
      </c>
      <c r="C103" s="2" t="s">
        <v>21</v>
      </c>
      <c r="D103" s="2" t="s">
        <v>46</v>
      </c>
      <c r="E103" s="39" t="str">
        <f>VLOOKUP($D103,PRECIOS_REFERENCIAS!A$3:D$90,2,FALSE)</f>
        <v>INSTALACION EA</v>
      </c>
      <c r="F103" s="3">
        <f>F99</f>
        <v>1</v>
      </c>
      <c r="G103" s="2" t="s">
        <v>18</v>
      </c>
      <c r="H103" s="40">
        <f>VLOOKUP($D103,PRECIOS_REFERENCIAS!A$3:D$90,4,FALSE)</f>
        <v>237.18351660213608</v>
      </c>
      <c r="I103" s="6">
        <f>H103*F103</f>
        <v>237.18351660213608</v>
      </c>
    </row>
    <row r="104" spans="1:9" hidden="1" outlineLevel="2">
      <c r="A104" s="23"/>
      <c r="B104" s="2"/>
      <c r="C104" s="7"/>
      <c r="D104" s="2"/>
      <c r="E104" s="5" t="str">
        <f>VLOOKUP($D103,PRECIOS_REFERENCIAS!A$3:D$90,3,FALSE)</f>
        <v>SUSTITUCIÓN DE MÓDULO DE E/S ANALÓGICAS DE PLC EXISTENTE POR NUEVO MÓDULO DE PLC DEFINIDO. ENTRADA ANALÓGICAS 8</v>
      </c>
      <c r="F104" s="3"/>
      <c r="G104" s="2"/>
      <c r="H104" s="40"/>
      <c r="I104" s="6"/>
    </row>
    <row r="105" spans="1:9" hidden="1" outlineLevel="2">
      <c r="A105" s="24" t="s">
        <v>118</v>
      </c>
      <c r="B105" s="2" t="s">
        <v>79</v>
      </c>
      <c r="C105" s="2" t="s">
        <v>80</v>
      </c>
      <c r="D105" s="2" t="s">
        <v>81</v>
      </c>
      <c r="E105" s="39" t="str">
        <f>VLOOKUP($D105,PRECIOS_REFERENCIAS!A$3:D$90,2,FALSE)</f>
        <v>PLANIFICACION</v>
      </c>
      <c r="F105" s="3">
        <f>F103</f>
        <v>1</v>
      </c>
      <c r="G105" s="2" t="s">
        <v>18</v>
      </c>
      <c r="H105" s="40">
        <f>VLOOKUP($D105,PRECIOS_REFERENCIAS!A$3:D$90,4,FALSE)</f>
        <v>40</v>
      </c>
      <c r="I105" s="6">
        <f>H105*F105</f>
        <v>40</v>
      </c>
    </row>
    <row r="106" spans="1:9" hidden="1" outlineLevel="2">
      <c r="A106" s="23"/>
      <c r="B106" s="2"/>
      <c r="C106" s="2"/>
      <c r="D106" s="2"/>
      <c r="E106" s="5" t="str">
        <f>VLOOKUP($D105,PRECIOS_REFERENCIAS!A$3:D$90,3,FALSE)</f>
        <v>PLANIFICACIÓN DE LOS TRABAJOS Y DESCARGA EN LOCAL DEL PROGRAMA DEL PLC</v>
      </c>
      <c r="F106" s="3"/>
      <c r="G106" s="2"/>
      <c r="H106" s="40"/>
      <c r="I106" s="6"/>
    </row>
    <row r="107" spans="1:9" hidden="1" outlineLevel="2">
      <c r="A107" s="24" t="s">
        <v>119</v>
      </c>
      <c r="B107" s="2" t="s">
        <v>83</v>
      </c>
      <c r="C107" s="2" t="s">
        <v>80</v>
      </c>
      <c r="D107" s="2" t="s">
        <v>80</v>
      </c>
      <c r="E107" s="39" t="str">
        <f>VLOOKUP($D107,PRECIOS_REFERENCIAS!A$3:D$90,2,FALSE)</f>
        <v>INGENIERIA + ESQUEMAS</v>
      </c>
      <c r="F107" s="3">
        <f>F105</f>
        <v>1</v>
      </c>
      <c r="G107" s="2" t="s">
        <v>18</v>
      </c>
      <c r="H107" s="40">
        <f>VLOOKUP($D107,PRECIOS_REFERENCIAS!A$3:D$90,4,FALSE)</f>
        <v>300</v>
      </c>
      <c r="I107" s="6">
        <f>H107*F107</f>
        <v>300</v>
      </c>
    </row>
    <row r="108" spans="1:9" ht="22.5" hidden="1" outlineLevel="2">
      <c r="A108" s="23"/>
      <c r="B108" s="2"/>
      <c r="C108" s="2"/>
      <c r="D108" s="2"/>
      <c r="E108" s="5" t="str">
        <f>VLOOKUP($D107,PRECIOS_REFERENCIAS!A$3:D$90,3,FALSE)</f>
        <v>INGENIERÍA DE ACTUALIZACIÓN DE ESQUEMAS ELÉCTRICOS. INCLUYE LA REVISIÓN LOCAL DE LOS CUADROS Y ELEMENTOS DE CONTROL, ASÍ COMO LA COMPROBACIÓN DE LAS SEÑALES DE CONTROL.</v>
      </c>
      <c r="F108" s="3"/>
      <c r="G108" s="2"/>
      <c r="H108" s="40"/>
      <c r="I108" s="6"/>
    </row>
    <row r="109" spans="1:9" hidden="1" outlineLevel="2">
      <c r="A109" s="24" t="s">
        <v>120</v>
      </c>
      <c r="B109" s="2" t="s">
        <v>88</v>
      </c>
      <c r="C109" s="2" t="s">
        <v>80</v>
      </c>
      <c r="D109" s="2" t="s">
        <v>89</v>
      </c>
      <c r="E109" s="39" t="str">
        <f>VLOOKUP($D109,PRECIOS_REFERENCIAS!A$3:D$90,2,FALSE)</f>
        <v>PROGRAMA PLC NUEVO</v>
      </c>
      <c r="F109" s="3">
        <v>1</v>
      </c>
      <c r="G109" s="2" t="s">
        <v>18</v>
      </c>
      <c r="H109" s="40">
        <f>VLOOKUP($D109,PRECIOS_REFERENCIAS!A$3:D$90,4,FALSE)</f>
        <v>407.75660964439658</v>
      </c>
      <c r="I109" s="6">
        <f>H109*F109</f>
        <v>407.75660964439658</v>
      </c>
    </row>
    <row r="110" spans="1:9" hidden="1" outlineLevel="2">
      <c r="A110" s="23"/>
      <c r="B110" s="2"/>
      <c r="C110" s="2"/>
      <c r="D110" s="2"/>
      <c r="E110" s="5" t="str">
        <f>VLOOKUP($D109,PRECIOS_REFERENCIAS!A$3:D$90,3,FALSE)</f>
        <v>MIGRACION DEL PROGRAMA ACTUAL A LA NUEVA PLATAFORMA DE PROGRAMACION</v>
      </c>
      <c r="I110" s="6"/>
    </row>
    <row r="111" spans="1:9" hidden="1" outlineLevel="2">
      <c r="A111" s="24" t="s">
        <v>121</v>
      </c>
      <c r="B111" s="2" t="s">
        <v>94</v>
      </c>
      <c r="C111" s="2" t="s">
        <v>80</v>
      </c>
      <c r="D111" s="2" t="s">
        <v>95</v>
      </c>
      <c r="E111" s="39" t="str">
        <f>VLOOKUP($D111,PRECIOS_REFERENCIAS!A$3:D$90,2,FALSE)</f>
        <v>PEM REMOTA</v>
      </c>
      <c r="F111" s="3">
        <v>1</v>
      </c>
      <c r="G111" s="2" t="s">
        <v>18</v>
      </c>
      <c r="H111" s="40">
        <f>VLOOKUP($D111,PRECIOS_REFERENCIAS!A$3:D$90,4,FALSE)</f>
        <v>851.7</v>
      </c>
      <c r="I111" s="6">
        <f>H111*F111</f>
        <v>851.7</v>
      </c>
    </row>
    <row r="112" spans="1:9" hidden="1" outlineLevel="2">
      <c r="A112" s="23"/>
      <c r="B112" s="2"/>
      <c r="C112" s="2"/>
      <c r="D112" s="2"/>
      <c r="E112" s="5" t="str">
        <f>VLOOKUP($D111,PRECIOS_REFERENCIAS!A$3:D$90,3,FALSE)</f>
        <v>PUESTA EN MARCHA DEL PROGRAMA DE CONTROL LOCAL</v>
      </c>
      <c r="F112" s="3"/>
      <c r="G112" s="2"/>
      <c r="H112" s="40"/>
      <c r="I112" s="6"/>
    </row>
    <row r="113" spans="1:10" hidden="1" outlineLevel="2">
      <c r="A113" s="24" t="s">
        <v>122</v>
      </c>
      <c r="B113" s="2" t="s">
        <v>97</v>
      </c>
      <c r="C113" s="2" t="s">
        <v>80</v>
      </c>
      <c r="D113" s="2" t="s">
        <v>98</v>
      </c>
      <c r="E113" s="39" t="str">
        <f>VLOOKUP($D113,PRECIOS_REFERENCIAS!A$3:D$90,2,FALSE)</f>
        <v>REVISION SCADA</v>
      </c>
      <c r="F113" s="3">
        <v>1</v>
      </c>
      <c r="G113" s="2" t="s">
        <v>18</v>
      </c>
      <c r="H113" s="40">
        <f>VLOOKUP($D113,PRECIOS_REFERENCIAS!A$3:D$90,4,FALSE)</f>
        <v>60</v>
      </c>
      <c r="I113" s="6">
        <f>H113*F113</f>
        <v>60</v>
      </c>
    </row>
    <row r="114" spans="1:10" hidden="1" outlineLevel="2">
      <c r="A114" s="23"/>
      <c r="B114" s="2"/>
      <c r="C114" s="2"/>
      <c r="D114" s="2"/>
      <c r="E114" s="5" t="str">
        <f>VLOOKUP($D113,PRECIOS_REFERENCIAS!A$3:D$90,3,FALSE)</f>
        <v>REVISIÓN DEL PROGRAMA DE SUPERVISIÓN SCADA</v>
      </c>
      <c r="I114" s="6"/>
    </row>
    <row r="115" spans="1:10" hidden="1" outlineLevel="2">
      <c r="A115" s="23"/>
      <c r="B115" s="2"/>
      <c r="C115" s="2" t="s">
        <v>16</v>
      </c>
      <c r="D115" s="2"/>
      <c r="E115" s="76" t="str">
        <f>CONCATENATE(E84," - TOTAL HARDWARE")</f>
        <v>CAMARA DE LLAVES (PRESA) - TOTAL HARDWARE</v>
      </c>
      <c r="F115" s="74"/>
      <c r="G115" s="74"/>
      <c r="H115" s="74"/>
      <c r="I115" s="75">
        <f>I85+I89+I93+I95+I99+I101</f>
        <v>1601.6781182073294</v>
      </c>
    </row>
    <row r="116" spans="1:10" hidden="1" outlineLevel="2">
      <c r="A116" s="23"/>
      <c r="B116" s="2"/>
      <c r="C116" s="2" t="s">
        <v>21</v>
      </c>
      <c r="D116" s="2"/>
      <c r="E116" s="73" t="s">
        <v>123</v>
      </c>
      <c r="F116" s="74"/>
      <c r="G116" s="74"/>
      <c r="H116" s="74"/>
      <c r="I116" s="75">
        <f>I87+I91+I97+I103</f>
        <v>558.45962999891049</v>
      </c>
    </row>
    <row r="117" spans="1:10" hidden="1" outlineLevel="2">
      <c r="A117" s="23"/>
      <c r="B117" s="2"/>
      <c r="C117" s="2" t="s">
        <v>80</v>
      </c>
      <c r="D117" s="2"/>
      <c r="E117" s="73" t="s">
        <v>124</v>
      </c>
      <c r="F117" s="74"/>
      <c r="G117" s="74"/>
      <c r="H117" s="74"/>
      <c r="I117" s="75">
        <f>I105+I107+I109+I111+I113</f>
        <v>1659.4566096443966</v>
      </c>
      <c r="J117" s="22">
        <f>SUM(I115:I117)</f>
        <v>3819.5943578506367</v>
      </c>
    </row>
    <row r="118" spans="1:10" hidden="1" outlineLevel="2">
      <c r="E118" s="41" t="str">
        <f>CONCATENATE("TOTAL ",A84)</f>
        <v>TOTAL  SUBCAPÍTULO 01.02</v>
      </c>
      <c r="F118" s="41"/>
      <c r="G118" s="41"/>
      <c r="H118" s="41"/>
      <c r="I118" s="42">
        <f>SUM(I85:I114)</f>
        <v>3819.5943578506367</v>
      </c>
    </row>
    <row r="119" spans="1:10" hidden="1" outlineLevel="1">
      <c r="A119" s="44" t="s">
        <v>125</v>
      </c>
      <c r="B119" s="44"/>
      <c r="C119" s="44"/>
      <c r="D119" s="44"/>
      <c r="E119" s="43" t="s">
        <v>126</v>
      </c>
      <c r="F119" s="44"/>
      <c r="G119" s="44" t="s">
        <v>11</v>
      </c>
      <c r="H119" s="45"/>
      <c r="I119" s="64">
        <f>I159</f>
        <v>4279.5568578506363</v>
      </c>
    </row>
    <row r="120" spans="1:10" hidden="1" outlineLevel="2">
      <c r="A120" s="24" t="s">
        <v>127</v>
      </c>
      <c r="B120" s="2" t="s">
        <v>15</v>
      </c>
      <c r="C120" s="2" t="s">
        <v>16</v>
      </c>
      <c r="D120" s="2" t="s">
        <v>15</v>
      </c>
      <c r="E120" s="39" t="str">
        <f>VLOOKUP($D120,PRECIOS_REFERENCIAS!A$3:D$90,2,FALSE)</f>
        <v xml:space="preserve">CARRIL DIN </v>
      </c>
      <c r="F120" s="3">
        <v>1</v>
      </c>
      <c r="G120" s="2" t="s">
        <v>18</v>
      </c>
      <c r="H120" s="40">
        <f>VLOOKUP($D120,PRECIOS_REFERENCIAS!A$3:D$90,4,FALSE)</f>
        <v>2.6481182073295662</v>
      </c>
      <c r="I120" s="6">
        <f>H120*F120</f>
        <v>2.6481182073295662</v>
      </c>
    </row>
    <row r="121" spans="1:10" hidden="1" outlineLevel="2">
      <c r="A121" s="23"/>
      <c r="B121" s="2"/>
      <c r="C121" s="2"/>
      <c r="D121" s="2"/>
      <c r="E121" s="5" t="str">
        <f>VLOOKUP($D120,PRECIOS_REFERENCIAS!A$3:D$90,3,FALSE)</f>
        <v>CARRIL DIN PARA REMOTA S7-1200</v>
      </c>
      <c r="F121" s="3"/>
      <c r="G121" s="2"/>
      <c r="H121" s="40"/>
      <c r="I121" s="6"/>
    </row>
    <row r="122" spans="1:10" hidden="1" outlineLevel="2">
      <c r="A122" s="24" t="s">
        <v>128</v>
      </c>
      <c r="B122" s="2" t="s">
        <v>20</v>
      </c>
      <c r="C122" s="2" t="s">
        <v>21</v>
      </c>
      <c r="D122" s="2" t="s">
        <v>22</v>
      </c>
      <c r="E122" s="39" t="str">
        <f>VLOOKUP($D122,PRECIOS_REFERENCIAS!A$3:D$90,2,FALSE)</f>
        <v xml:space="preserve">INSTALACION CARRIL DIN </v>
      </c>
      <c r="F122" s="3">
        <v>1</v>
      </c>
      <c r="G122" s="2" t="s">
        <v>18</v>
      </c>
      <c r="H122" s="40">
        <f>VLOOKUP($D122,PRECIOS_REFERENCIAS!A$3:D$90,4,FALSE)</f>
        <v>35.402252939916011</v>
      </c>
      <c r="I122" s="6">
        <f>H122*F122</f>
        <v>35.402252939916011</v>
      </c>
    </row>
    <row r="123" spans="1:10" hidden="1" outlineLevel="2">
      <c r="A123" s="23"/>
      <c r="B123" s="2"/>
      <c r="C123" s="2"/>
      <c r="D123" s="2"/>
      <c r="E123" s="5" t="str">
        <f>VLOOKUP($D122,PRECIOS_REFERENCIAS!A$3:D$90,3,FALSE)</f>
        <v>SUSTITUCIÓN DE PERFIL SOPORTE DE PLC EXISTENTE POR NUEVO PERFIL DE PLC DEFINIDO, DENTRO DEL ARMARIO ELÉCTRICO ACTUAL.</v>
      </c>
      <c r="F123" s="3"/>
      <c r="G123" s="2"/>
      <c r="H123" s="40"/>
      <c r="I123" s="6"/>
    </row>
    <row r="124" spans="1:10" hidden="1" outlineLevel="2">
      <c r="A124" s="24" t="s">
        <v>129</v>
      </c>
      <c r="B124" s="2" t="s">
        <v>104</v>
      </c>
      <c r="C124" s="2" t="s">
        <v>16</v>
      </c>
      <c r="D124" s="2" t="s">
        <v>105</v>
      </c>
      <c r="E124" s="39" t="str">
        <f>VLOOKUP($D124,PRECIOS_REFERENCIAS!A$3:D$48,2,FALSE)</f>
        <v>SUMINISTRO DE ET200MP</v>
      </c>
      <c r="F124" s="3">
        <v>1</v>
      </c>
      <c r="G124" s="2" t="s">
        <v>18</v>
      </c>
      <c r="H124" s="40">
        <f>VLOOKUP($D124,PRECIOS_REFERENCIAS!A$3:D$48,4,FALSE)</f>
        <v>416.92499999999995</v>
      </c>
      <c r="I124" s="6">
        <f>H124*F124</f>
        <v>416.92499999999995</v>
      </c>
    </row>
    <row r="125" spans="1:10" hidden="1" outlineLevel="2">
      <c r="A125" s="23"/>
      <c r="B125" s="38"/>
      <c r="C125" s="38"/>
      <c r="D125" s="38"/>
      <c r="E125" s="5" t="str">
        <f>VLOOKUP($D124,PRECIOS_REFERENCIAS!A$3:D$48,3,FALSE)</f>
        <v>SIMATIC ET 200MP, IM 155-5 PN ST // 6ES7155-5AA01-0AB0</v>
      </c>
      <c r="F125" s="7"/>
      <c r="G125" s="7"/>
      <c r="I125" s="6"/>
    </row>
    <row r="126" spans="1:10" hidden="1" outlineLevel="2">
      <c r="A126" s="24" t="s">
        <v>130</v>
      </c>
      <c r="B126" s="2" t="s">
        <v>20</v>
      </c>
      <c r="C126" s="2" t="s">
        <v>21</v>
      </c>
      <c r="D126" s="2" t="s">
        <v>28</v>
      </c>
      <c r="E126" s="39" t="str">
        <f>VLOOKUP($D126,PRECIOS_REFERENCIAS!A$3:D$90,2,FALSE)</f>
        <v>INSTALACION CPU</v>
      </c>
      <c r="F126" s="3">
        <v>1</v>
      </c>
      <c r="G126" s="2" t="s">
        <v>18</v>
      </c>
      <c r="H126" s="40">
        <f>VLOOKUP($D126,PRECIOS_REFERENCIAS!A$3:D$90,4,FALSE)</f>
        <v>123.90076030798227</v>
      </c>
      <c r="I126" s="6">
        <f>H126*F126</f>
        <v>123.90076030798227</v>
      </c>
    </row>
    <row r="127" spans="1:10" hidden="1" outlineLevel="2">
      <c r="A127" s="23"/>
      <c r="B127" s="2"/>
      <c r="C127" s="2"/>
      <c r="D127" s="2"/>
      <c r="E127" s="5" t="str">
        <f>VLOOKUP($D126,PRECIOS_REFERENCIAS!A$3:D$90,3,FALSE)</f>
        <v>SUSTITUCIÓN DE CPU DE PLC EXISTENTE POR NUEVA CPU DE PLC DEFINIDA</v>
      </c>
      <c r="F127" s="3"/>
      <c r="G127" s="2"/>
      <c r="H127" s="40"/>
      <c r="I127" s="6"/>
    </row>
    <row r="128" spans="1:10" hidden="1" outlineLevel="2">
      <c r="A128" s="24" t="s">
        <v>131</v>
      </c>
      <c r="B128" s="2" t="s">
        <v>108</v>
      </c>
      <c r="C128" s="2" t="s">
        <v>16</v>
      </c>
      <c r="D128" s="2" t="s">
        <v>109</v>
      </c>
      <c r="E128" s="39" t="str">
        <f>VLOOKUP($D128,PRECIOS_REFERENCIAS!A$3:D$48,2,FALSE)</f>
        <v>SUMINISTRO MÓDULO DE 32 ENTRADAS DIGITALES</v>
      </c>
      <c r="F128" s="3">
        <v>1</v>
      </c>
      <c r="G128" s="2" t="s">
        <v>18</v>
      </c>
      <c r="H128" s="40">
        <f>VLOOKUP($D128,PRECIOS_REFERENCIAS!A$3:D$48,4,FALSE)</f>
        <v>308.82</v>
      </c>
      <c r="I128" s="6">
        <f>H128*F128</f>
        <v>308.82</v>
      </c>
    </row>
    <row r="129" spans="1:9" hidden="1" outlineLevel="2">
      <c r="A129" s="23"/>
      <c r="B129" s="7"/>
      <c r="C129" s="38"/>
      <c r="D129" s="7"/>
      <c r="E129" s="5" t="str">
        <f>VLOOKUP($D128,PRECIOS_REFERENCIAS!A$3:D$48,3,FALSE)</f>
        <v>S7-1500, DI 32x24VDC HF// 6ES7521-1BL00-0AB0</v>
      </c>
      <c r="F129" s="7"/>
      <c r="G129" s="7"/>
      <c r="I129" s="6"/>
    </row>
    <row r="130" spans="1:9" hidden="1" outlineLevel="2">
      <c r="A130" s="24" t="s">
        <v>132</v>
      </c>
      <c r="B130" s="2" t="s">
        <v>108</v>
      </c>
      <c r="C130" s="2" t="s">
        <v>16</v>
      </c>
      <c r="D130" s="2" t="s">
        <v>111</v>
      </c>
      <c r="E130" s="39" t="str">
        <f>VLOOKUP($D130,PRECIOS_REFERENCIAS!A$3:D$48,2,FALSE)</f>
        <v>SUMINISTRO ENCHUFE FRONTAL</v>
      </c>
      <c r="F130" s="3">
        <f>F128</f>
        <v>1</v>
      </c>
      <c r="G130" s="2" t="s">
        <v>18</v>
      </c>
      <c r="H130" s="40">
        <f>VLOOKUP($D130,PRECIOS_REFERENCIAS!A$3:D$48,4,FALSE)</f>
        <v>34.987499999999997</v>
      </c>
      <c r="I130" s="6">
        <f>H130*F130</f>
        <v>34.987499999999997</v>
      </c>
    </row>
    <row r="131" spans="1:9" hidden="1" outlineLevel="2">
      <c r="A131" s="23"/>
      <c r="B131" s="7"/>
      <c r="C131" s="38"/>
      <c r="D131" s="7"/>
      <c r="E131" s="5" t="str">
        <f>VLOOKUP($D130,PRECIOS_REFERENCIAS!A$3:D$48,3,FALSE)</f>
        <v>Enchufe frontal Push-in (mód. de 35mm) // 6ES7592-1BM00-0XB0</v>
      </c>
      <c r="F131" s="7"/>
      <c r="G131" s="7"/>
      <c r="I131" s="6"/>
    </row>
    <row r="132" spans="1:9" hidden="1" outlineLevel="2">
      <c r="A132" s="24" t="s">
        <v>133</v>
      </c>
      <c r="B132" s="2" t="s">
        <v>20</v>
      </c>
      <c r="C132" s="2" t="s">
        <v>21</v>
      </c>
      <c r="D132" s="2" t="s">
        <v>35</v>
      </c>
      <c r="E132" s="39" t="str">
        <f>VLOOKUP($D132,PRECIOS_REFERENCIAS!A$3:D$90,2,FALSE)</f>
        <v>INSTALACION ED</v>
      </c>
      <c r="F132" s="3">
        <f>F130</f>
        <v>1</v>
      </c>
      <c r="G132" s="2" t="s">
        <v>18</v>
      </c>
      <c r="H132" s="40">
        <f>VLOOKUP($D132,PRECIOS_REFERENCIAS!A$3:D$90,4,FALSE)</f>
        <v>161.97310014887609</v>
      </c>
      <c r="I132" s="6">
        <f>H132*F132</f>
        <v>161.97310014887609</v>
      </c>
    </row>
    <row r="133" spans="1:9" hidden="1" outlineLevel="2">
      <c r="A133" s="23"/>
      <c r="B133" s="2"/>
      <c r="C133" s="7"/>
      <c r="D133" s="2"/>
      <c r="E133" s="5" t="str">
        <f>VLOOKUP($D132,PRECIOS_REFERENCIAS!A$3:D$90,3,FALSE)</f>
        <v>SUSTITUCIÓN DE MÓDULO DE E/S DIGITALES DE PLC EXISTENTE POR NUEVO MÓDULO DE PLC DEFINIDO. ENTRADA DIGITAL 16</v>
      </c>
      <c r="F133" s="3"/>
      <c r="G133" s="2"/>
      <c r="H133" s="40"/>
      <c r="I133" s="6"/>
    </row>
    <row r="134" spans="1:9" hidden="1" outlineLevel="2">
      <c r="A134" s="24" t="s">
        <v>134</v>
      </c>
      <c r="B134" s="2" t="s">
        <v>114</v>
      </c>
      <c r="C134" s="2" t="s">
        <v>16</v>
      </c>
      <c r="D134" s="2" t="s">
        <v>115</v>
      </c>
      <c r="E134" s="39" t="str">
        <f>VLOOKUP($D134,PRECIOS_REFERENCIAS!A$3:D$48,2,FALSE)</f>
        <v>SUMINISTRO MÓDULO DE 8 ENTRADAS ANALÓGICAS</v>
      </c>
      <c r="F134" s="3">
        <v>1</v>
      </c>
      <c r="G134" s="2" t="s">
        <v>18</v>
      </c>
      <c r="H134" s="40">
        <f>VLOOKUP($D134,PRECIOS_REFERENCIAS!A$3:D$48,4,FALSE)</f>
        <v>803.31</v>
      </c>
      <c r="I134" s="6">
        <f>H134*F134</f>
        <v>803.31</v>
      </c>
    </row>
    <row r="135" spans="1:9" hidden="1" outlineLevel="2">
      <c r="A135" s="23"/>
      <c r="B135" s="7"/>
      <c r="C135" s="7"/>
      <c r="D135" s="7"/>
      <c r="E135" s="5" t="str">
        <f>VLOOKUP($D134,PRECIOS_REFERENCIAS!A$3:D$48,3,FALSE)</f>
        <v>SIMATIC S7-1500, módulo de entradas analógicas AI 8xU/I HF //6ES7531-7PF00-0AB0</v>
      </c>
      <c r="F135" s="7"/>
      <c r="G135" s="7"/>
      <c r="I135" s="6"/>
    </row>
    <row r="136" spans="1:9" hidden="1" outlineLevel="2">
      <c r="A136" s="24" t="s">
        <v>135</v>
      </c>
      <c r="B136" s="2" t="s">
        <v>108</v>
      </c>
      <c r="C136" s="2" t="s">
        <v>16</v>
      </c>
      <c r="D136" s="2" t="s">
        <v>111</v>
      </c>
      <c r="E136" s="39" t="str">
        <f>VLOOKUP($D136,PRECIOS_REFERENCIAS!A$3:D$48,2,FALSE)</f>
        <v>SUMINISTRO ENCHUFE FRONTAL</v>
      </c>
      <c r="F136" s="3">
        <f>F134</f>
        <v>1</v>
      </c>
      <c r="G136" s="2" t="s">
        <v>18</v>
      </c>
      <c r="H136" s="40">
        <f>VLOOKUP($D136,PRECIOS_REFERENCIAS!A$3:D$48,4,FALSE)</f>
        <v>34.987499999999997</v>
      </c>
      <c r="I136" s="6">
        <f>H136*F136</f>
        <v>34.987499999999997</v>
      </c>
    </row>
    <row r="137" spans="1:9" hidden="1" outlineLevel="2">
      <c r="A137" s="23"/>
      <c r="B137" s="7"/>
      <c r="C137" s="38"/>
      <c r="D137" s="7"/>
      <c r="E137" s="5" t="str">
        <f>VLOOKUP($D136,PRECIOS_REFERENCIAS!A$3:D$48,3,FALSE)</f>
        <v>Enchufe frontal Push-in (mód. de 35mm) // 6ES7592-1BM00-0XB0</v>
      </c>
      <c r="F137" s="7"/>
      <c r="G137" s="7"/>
      <c r="I137" s="6"/>
    </row>
    <row r="138" spans="1:9" hidden="1" outlineLevel="2">
      <c r="A138" s="24" t="s">
        <v>136</v>
      </c>
      <c r="B138" s="2" t="s">
        <v>20</v>
      </c>
      <c r="C138" s="2" t="s">
        <v>21</v>
      </c>
      <c r="D138" s="2" t="s">
        <v>46</v>
      </c>
      <c r="E138" s="39" t="str">
        <f>VLOOKUP($D138,PRECIOS_REFERENCIAS!A$3:D$90,2,FALSE)</f>
        <v>INSTALACION EA</v>
      </c>
      <c r="F138" s="3">
        <f>F134</f>
        <v>1</v>
      </c>
      <c r="G138" s="2" t="s">
        <v>18</v>
      </c>
      <c r="H138" s="40">
        <f>VLOOKUP($D138,PRECIOS_REFERENCIAS!A$3:D$90,4,FALSE)</f>
        <v>237.18351660213608</v>
      </c>
      <c r="I138" s="6">
        <f>H138*F138</f>
        <v>237.18351660213608</v>
      </c>
    </row>
    <row r="139" spans="1:9" hidden="1" outlineLevel="2">
      <c r="A139" s="23"/>
      <c r="B139" s="2"/>
      <c r="C139" s="7"/>
      <c r="D139" s="2"/>
      <c r="E139" s="5" t="str">
        <f>VLOOKUP($D138,PRECIOS_REFERENCIAS!A$3:D$90,3,FALSE)</f>
        <v>SUSTITUCIÓN DE MÓDULO DE E/S ANALÓGICAS DE PLC EXISTENTE POR NUEVO MÓDULO DE PLC DEFINIDO. ENTRADA ANALÓGICAS 8</v>
      </c>
      <c r="F139" s="3"/>
      <c r="G139" s="2"/>
      <c r="H139" s="40"/>
      <c r="I139" s="6"/>
    </row>
    <row r="140" spans="1:9" hidden="1" outlineLevel="2">
      <c r="A140" s="24" t="s">
        <v>137</v>
      </c>
      <c r="B140" s="2" t="s">
        <v>114</v>
      </c>
      <c r="C140" s="2" t="s">
        <v>16</v>
      </c>
      <c r="D140" s="2" t="s">
        <v>138</v>
      </c>
      <c r="E140" s="39" t="str">
        <f>VLOOKUP($D140,PRECIOS_REFERENCIAS!A$3:D$48,2,FALSE)</f>
        <v>SUMINISTRO MÓDULO DE 4 SALIDAS ANALÓGICAS</v>
      </c>
      <c r="F140" s="3">
        <v>1</v>
      </c>
      <c r="G140" s="2" t="s">
        <v>18</v>
      </c>
      <c r="H140" s="40">
        <f>VLOOKUP($D140,PRECIOS_REFERENCIAS!A$3:D$48,4,FALSE)</f>
        <v>264.97500000000002</v>
      </c>
      <c r="I140" s="6">
        <f>H140*F140</f>
        <v>264.97500000000002</v>
      </c>
    </row>
    <row r="141" spans="1:9" hidden="1" outlineLevel="2">
      <c r="A141" s="23"/>
      <c r="B141" s="7"/>
      <c r="C141" s="7"/>
      <c r="D141" s="7"/>
      <c r="E141" s="5" t="str">
        <f>VLOOKUP($D140,PRECIOS_REFERENCIAS!A$3:D$48,3,FALSE)</f>
        <v>SIMATIC S7-1500, módulo de salidas analógicas AQ 2 x U/I ST//  6ES7532-5NB00-0AB0</v>
      </c>
      <c r="F141" s="7"/>
      <c r="G141" s="7"/>
      <c r="I141" s="6"/>
    </row>
    <row r="142" spans="1:9" hidden="1" outlineLevel="2">
      <c r="A142" s="24" t="s">
        <v>139</v>
      </c>
      <c r="B142" s="2" t="s">
        <v>108</v>
      </c>
      <c r="C142" s="2" t="s">
        <v>16</v>
      </c>
      <c r="D142" s="2" t="s">
        <v>111</v>
      </c>
      <c r="E142" s="39" t="str">
        <f>VLOOKUP($D142,PRECIOS_REFERENCIAS!A$3:D$48,2,FALSE)</f>
        <v>SUMINISTRO ENCHUFE FRONTAL</v>
      </c>
      <c r="F142" s="3">
        <f>F140</f>
        <v>1</v>
      </c>
      <c r="G142" s="2" t="s">
        <v>18</v>
      </c>
      <c r="H142" s="40">
        <f>VLOOKUP($D142,PRECIOS_REFERENCIAS!A$3:D$48,4,FALSE)</f>
        <v>34.987499999999997</v>
      </c>
      <c r="I142" s="6">
        <f>H142*F142</f>
        <v>34.987499999999997</v>
      </c>
    </row>
    <row r="143" spans="1:9" hidden="1" outlineLevel="2">
      <c r="A143" s="23"/>
      <c r="B143" s="7"/>
      <c r="C143" s="38"/>
      <c r="D143" s="7"/>
      <c r="E143" s="5" t="str">
        <f>VLOOKUP($D142,PRECIOS_REFERENCIAS!A$3:D$48,3,FALSE)</f>
        <v>Enchufe frontal Push-in (mód. de 35mm) // 6ES7592-1BM00-0XB0</v>
      </c>
      <c r="F143" s="7"/>
      <c r="G143" s="7"/>
      <c r="I143" s="6"/>
    </row>
    <row r="144" spans="1:9" hidden="1" outlineLevel="2">
      <c r="A144" s="24" t="s">
        <v>140</v>
      </c>
      <c r="B144" s="2" t="s">
        <v>20</v>
      </c>
      <c r="C144" s="2" t="s">
        <v>21</v>
      </c>
      <c r="D144" s="2" t="s">
        <v>51</v>
      </c>
      <c r="E144" s="39" t="str">
        <f>VLOOKUP($D144,PRECIOS_REFERENCIAS!A$3:D$90,2,FALSE)</f>
        <v>INSTALACION SA</v>
      </c>
      <c r="F144" s="3">
        <f>F140</f>
        <v>1</v>
      </c>
      <c r="G144" s="2" t="s">
        <v>18</v>
      </c>
      <c r="H144" s="40">
        <f>VLOOKUP($D144,PRECIOS_REFERENCIAS!A$3:D$90,4,FALSE)</f>
        <v>160</v>
      </c>
      <c r="I144" s="6">
        <f>H144*F144</f>
        <v>160</v>
      </c>
    </row>
    <row r="145" spans="1:10" hidden="1" outlineLevel="2">
      <c r="A145" s="23"/>
      <c r="B145" s="2"/>
      <c r="C145" s="7"/>
      <c r="D145" s="2"/>
      <c r="E145" s="5" t="str">
        <f>VLOOKUP($D144,PRECIOS_REFERENCIAS!A$3:D$90,3,FALSE)</f>
        <v>SUSTITUCIÓN DE MÓDULO DE E/S ANALÓGICAS DE PLC EXISTENTE POR NUEVO MÓDULO DE PLC DEFINIDO. SALIDAS ANALÓGICAS 2</v>
      </c>
      <c r="F145" s="3"/>
      <c r="G145" s="2"/>
      <c r="H145" s="40"/>
      <c r="I145" s="6"/>
    </row>
    <row r="146" spans="1:10" hidden="1" outlineLevel="2">
      <c r="A146" s="24" t="s">
        <v>141</v>
      </c>
      <c r="B146" s="2" t="s">
        <v>79</v>
      </c>
      <c r="C146" s="2" t="s">
        <v>80</v>
      </c>
      <c r="D146" s="2" t="s">
        <v>81</v>
      </c>
      <c r="E146" s="39" t="str">
        <f>VLOOKUP($D146,PRECIOS_REFERENCIAS!A$3:D$90,2,FALSE)</f>
        <v>PLANIFICACION</v>
      </c>
      <c r="F146" s="3">
        <f>F138</f>
        <v>1</v>
      </c>
      <c r="G146" s="2" t="s">
        <v>18</v>
      </c>
      <c r="H146" s="40">
        <f>VLOOKUP($D146,PRECIOS_REFERENCIAS!A$3:D$90,4,FALSE)</f>
        <v>40</v>
      </c>
      <c r="I146" s="6">
        <f>H146*F146</f>
        <v>40</v>
      </c>
    </row>
    <row r="147" spans="1:10" hidden="1" outlineLevel="2">
      <c r="A147" s="23"/>
      <c r="B147" s="2"/>
      <c r="C147" s="2"/>
      <c r="D147" s="2"/>
      <c r="E147" s="5" t="str">
        <f>VLOOKUP($D146,PRECIOS_REFERENCIAS!A$3:D$90,3,FALSE)</f>
        <v>PLANIFICACIÓN DE LOS TRABAJOS Y DESCARGA EN LOCAL DEL PROGRAMA DEL PLC</v>
      </c>
      <c r="F147" s="3"/>
      <c r="G147" s="2"/>
      <c r="H147" s="40"/>
      <c r="I147" s="6"/>
    </row>
    <row r="148" spans="1:10" hidden="1" outlineLevel="2">
      <c r="A148" s="24" t="s">
        <v>142</v>
      </c>
      <c r="B148" s="2" t="s">
        <v>83</v>
      </c>
      <c r="C148" s="2" t="s">
        <v>80</v>
      </c>
      <c r="D148" s="2" t="s">
        <v>80</v>
      </c>
      <c r="E148" s="39" t="str">
        <f>VLOOKUP($D148,PRECIOS_REFERENCIAS!A$3:D$90,2,FALSE)</f>
        <v>INGENIERIA + ESQUEMAS</v>
      </c>
      <c r="F148" s="3">
        <f>F146</f>
        <v>1</v>
      </c>
      <c r="G148" s="2" t="s">
        <v>18</v>
      </c>
      <c r="H148" s="40">
        <f>VLOOKUP($D148,PRECIOS_REFERENCIAS!A$3:D$90,4,FALSE)</f>
        <v>300</v>
      </c>
      <c r="I148" s="6">
        <f>H148*F148</f>
        <v>300</v>
      </c>
    </row>
    <row r="149" spans="1:10" ht="22.5" hidden="1" outlineLevel="2">
      <c r="A149" s="23"/>
      <c r="B149" s="2"/>
      <c r="C149" s="2"/>
      <c r="D149" s="2"/>
      <c r="E149" s="5" t="str">
        <f>VLOOKUP($D148,PRECIOS_REFERENCIAS!A$3:D$90,3,FALSE)</f>
        <v>INGENIERÍA DE ACTUALIZACIÓN DE ESQUEMAS ELÉCTRICOS. INCLUYE LA REVISIÓN LOCAL DE LOS CUADROS Y ELEMENTOS DE CONTROL, ASÍ COMO LA COMPROBACIÓN DE LAS SEÑALES DE CONTROL.</v>
      </c>
      <c r="F149" s="3"/>
      <c r="G149" s="2"/>
      <c r="H149" s="40"/>
      <c r="I149" s="6"/>
    </row>
    <row r="150" spans="1:10" hidden="1" outlineLevel="2">
      <c r="A150" s="24" t="s">
        <v>143</v>
      </c>
      <c r="B150" s="2" t="s">
        <v>88</v>
      </c>
      <c r="C150" s="2" t="s">
        <v>80</v>
      </c>
      <c r="D150" s="2" t="s">
        <v>89</v>
      </c>
      <c r="E150" s="39" t="str">
        <f>VLOOKUP($D150,PRECIOS_REFERENCIAS!A$3:D$90,2,FALSE)</f>
        <v>PROGRAMA PLC NUEVO</v>
      </c>
      <c r="F150" s="3">
        <v>1</v>
      </c>
      <c r="G150" s="2" t="s">
        <v>18</v>
      </c>
      <c r="H150" s="40">
        <f>VLOOKUP($D150,PRECIOS_REFERENCIAS!A$3:D$90,4,FALSE)</f>
        <v>407.75660964439658</v>
      </c>
      <c r="I150" s="6">
        <f>H150*F150</f>
        <v>407.75660964439658</v>
      </c>
    </row>
    <row r="151" spans="1:10" hidden="1" outlineLevel="2">
      <c r="A151" s="23"/>
      <c r="B151" s="2"/>
      <c r="C151" s="2"/>
      <c r="D151" s="2"/>
      <c r="E151" s="5" t="str">
        <f>VLOOKUP($D150,PRECIOS_REFERENCIAS!A$3:D$90,3,FALSE)</f>
        <v>MIGRACION DEL PROGRAMA ACTUAL A LA NUEVA PLATAFORMA DE PROGRAMACION</v>
      </c>
      <c r="I151" s="6"/>
    </row>
    <row r="152" spans="1:10" hidden="1" outlineLevel="2">
      <c r="A152" s="24" t="s">
        <v>144</v>
      </c>
      <c r="B152" s="2" t="s">
        <v>94</v>
      </c>
      <c r="C152" s="2" t="s">
        <v>80</v>
      </c>
      <c r="D152" s="2" t="s">
        <v>95</v>
      </c>
      <c r="E152" s="39" t="str">
        <f>VLOOKUP($D152,PRECIOS_REFERENCIAS!A$3:D$90,2,FALSE)</f>
        <v>PEM REMOTA</v>
      </c>
      <c r="F152" s="3">
        <v>1</v>
      </c>
      <c r="G152" s="2" t="s">
        <v>18</v>
      </c>
      <c r="H152" s="40">
        <f>VLOOKUP($D152,PRECIOS_REFERENCIAS!A$3:D$90,4,FALSE)</f>
        <v>851.7</v>
      </c>
      <c r="I152" s="6">
        <f>H152*F152</f>
        <v>851.7</v>
      </c>
    </row>
    <row r="153" spans="1:10" hidden="1" outlineLevel="2">
      <c r="A153" s="23"/>
      <c r="B153" s="2"/>
      <c r="C153" s="2"/>
      <c r="D153" s="2"/>
      <c r="E153" s="5" t="str">
        <f>VLOOKUP($D152,PRECIOS_REFERENCIAS!A$3:D$90,3,FALSE)</f>
        <v>PUESTA EN MARCHA DEL PROGRAMA DE CONTROL LOCAL</v>
      </c>
      <c r="F153" s="3"/>
      <c r="G153" s="2"/>
      <c r="H153" s="40"/>
      <c r="I153" s="6"/>
    </row>
    <row r="154" spans="1:10" hidden="1" outlineLevel="2">
      <c r="A154" s="24" t="s">
        <v>145</v>
      </c>
      <c r="B154" s="2" t="s">
        <v>97</v>
      </c>
      <c r="C154" s="2" t="s">
        <v>80</v>
      </c>
      <c r="D154" s="2" t="s">
        <v>98</v>
      </c>
      <c r="E154" s="39" t="str">
        <f>VLOOKUP($D154,PRECIOS_REFERENCIAS!A$3:D$90,2,FALSE)</f>
        <v>REVISION SCADA</v>
      </c>
      <c r="F154" s="3">
        <v>1</v>
      </c>
      <c r="G154" s="2" t="s">
        <v>18</v>
      </c>
      <c r="H154" s="40">
        <f>VLOOKUP($D154,PRECIOS_REFERENCIAS!A$3:D$90,4,FALSE)</f>
        <v>60</v>
      </c>
      <c r="I154" s="6">
        <f>H154*F154</f>
        <v>60</v>
      </c>
    </row>
    <row r="155" spans="1:10" hidden="1" outlineLevel="2">
      <c r="A155" s="23"/>
      <c r="B155" s="2"/>
      <c r="C155" s="2"/>
      <c r="D155" s="2"/>
      <c r="E155" s="5" t="str">
        <f>VLOOKUP($D154,PRECIOS_REFERENCIAS!A$3:D$90,3,FALSE)</f>
        <v>REVISIÓN DEL PROGRAMA DE SUPERVISIÓN SCADA</v>
      </c>
      <c r="I155" s="6"/>
    </row>
    <row r="156" spans="1:10" hidden="1" outlineLevel="2">
      <c r="A156" s="23"/>
      <c r="B156" s="2"/>
      <c r="C156" s="2" t="s">
        <v>16</v>
      </c>
      <c r="D156" s="2"/>
      <c r="E156" s="76" t="str">
        <f>CONCATENATE(E119," - TOTAL HARDWARE")</f>
        <v>GALERÍA DERECHA (PRESA) - TOTAL HARDWARE</v>
      </c>
      <c r="F156" s="74"/>
      <c r="G156" s="74"/>
      <c r="H156" s="74"/>
      <c r="I156" s="75">
        <f>I120+I124+I128+I130+I134+I136+I140+I142</f>
        <v>1901.6406182073295</v>
      </c>
    </row>
    <row r="157" spans="1:10" hidden="1" outlineLevel="2">
      <c r="A157" s="23"/>
      <c r="B157" s="2"/>
      <c r="C157" s="2" t="s">
        <v>21</v>
      </c>
      <c r="D157" s="2"/>
      <c r="E157" s="76" t="str">
        <f>CONCATENATE(E119," - ""TOTALINSTALACION")</f>
        <v>GALERÍA DERECHA (PRESA) - "TOTALINSTALACION</v>
      </c>
      <c r="F157" s="74"/>
      <c r="G157" s="74"/>
      <c r="H157" s="74"/>
      <c r="I157" s="75">
        <f>I122+I126+I132+I138+I144</f>
        <v>718.45962999891049</v>
      </c>
    </row>
    <row r="158" spans="1:10" hidden="1" outlineLevel="2">
      <c r="A158" s="23"/>
      <c r="B158" s="2"/>
      <c r="C158" s="2" t="s">
        <v>80</v>
      </c>
      <c r="D158" s="2"/>
      <c r="E158" s="76" t="str">
        <f>CONCATENATE(E119," - ""TOTALINGENIERIA")</f>
        <v>GALERÍA DERECHA (PRESA) - "TOTALINGENIERIA</v>
      </c>
      <c r="F158" s="74"/>
      <c r="G158" s="74"/>
      <c r="H158" s="74"/>
      <c r="I158" s="75">
        <f>I146+I148+I150+I152+I154</f>
        <v>1659.4566096443966</v>
      </c>
      <c r="J158" s="22">
        <f>SUM(I156:I158)</f>
        <v>4279.5568578506363</v>
      </c>
    </row>
    <row r="159" spans="1:10" hidden="1" outlineLevel="2">
      <c r="E159" s="41" t="str">
        <f>CONCATENATE("TOTAL ",A119)</f>
        <v>TOTAL  SUBCAPÍTULO 01.03</v>
      </c>
      <c r="F159" s="41"/>
      <c r="G159" s="41"/>
      <c r="H159" s="41"/>
      <c r="I159" s="42">
        <f>SUM(I120:I155)</f>
        <v>4279.5568578506363</v>
      </c>
    </row>
    <row r="160" spans="1:10" hidden="1" outlineLevel="1">
      <c r="A160" s="44" t="s">
        <v>146</v>
      </c>
      <c r="B160" s="44"/>
      <c r="C160" s="44"/>
      <c r="D160" s="44"/>
      <c r="E160" s="43" t="s">
        <v>147</v>
      </c>
      <c r="F160" s="44"/>
      <c r="G160" s="44" t="s">
        <v>11</v>
      </c>
      <c r="H160" s="45"/>
      <c r="I160" s="64">
        <f>I218</f>
        <v>7799.3452307013386</v>
      </c>
    </row>
    <row r="161" spans="1:9" hidden="1" outlineLevel="2">
      <c r="A161" s="24" t="s">
        <v>148</v>
      </c>
      <c r="B161" s="2" t="s">
        <v>15</v>
      </c>
      <c r="C161" s="2" t="s">
        <v>16</v>
      </c>
      <c r="D161" s="2" t="s">
        <v>15</v>
      </c>
      <c r="E161" s="39" t="str">
        <f>VLOOKUP($D161,PRECIOS_REFERENCIAS!A$3:D$90,2,FALSE)</f>
        <v xml:space="preserve">CARRIL DIN </v>
      </c>
      <c r="F161" s="3">
        <v>1</v>
      </c>
      <c r="G161" s="2" t="s">
        <v>18</v>
      </c>
      <c r="H161" s="40">
        <f>VLOOKUP($D161,PRECIOS_REFERENCIAS!A$3:D$90,4,FALSE)</f>
        <v>2.6481182073295662</v>
      </c>
      <c r="I161" s="6">
        <f>H161*F161</f>
        <v>2.6481182073295662</v>
      </c>
    </row>
    <row r="162" spans="1:9" hidden="1" outlineLevel="2">
      <c r="A162" s="23"/>
      <c r="B162" s="2"/>
      <c r="C162" s="2"/>
      <c r="D162" s="2"/>
      <c r="E162" s="5" t="str">
        <f>VLOOKUP($D161,PRECIOS_REFERENCIAS!A$3:D$90,3,FALSE)</f>
        <v>CARRIL DIN PARA REMOTA S7-1200</v>
      </c>
      <c r="F162" s="3"/>
      <c r="G162" s="2"/>
      <c r="H162" s="40"/>
      <c r="I162" s="6"/>
    </row>
    <row r="163" spans="1:9" hidden="1" outlineLevel="2">
      <c r="A163" s="24" t="s">
        <v>149</v>
      </c>
      <c r="B163" s="2" t="s">
        <v>20</v>
      </c>
      <c r="C163" s="2" t="s">
        <v>21</v>
      </c>
      <c r="D163" s="2" t="s">
        <v>22</v>
      </c>
      <c r="E163" s="39" t="str">
        <f>VLOOKUP($D163,PRECIOS_REFERENCIAS!A$3:D$90,2,FALSE)</f>
        <v xml:space="preserve">INSTALACION CARRIL DIN </v>
      </c>
      <c r="F163" s="3">
        <v>1</v>
      </c>
      <c r="G163" s="2" t="s">
        <v>18</v>
      </c>
      <c r="H163" s="40">
        <f>VLOOKUP($D163,PRECIOS_REFERENCIAS!A$3:D$90,4,FALSE)</f>
        <v>35.402252939916011</v>
      </c>
      <c r="I163" s="6">
        <f>H163*F163</f>
        <v>35.402252939916011</v>
      </c>
    </row>
    <row r="164" spans="1:9" hidden="1" outlineLevel="2">
      <c r="A164" s="23"/>
      <c r="B164" s="2"/>
      <c r="C164" s="2"/>
      <c r="D164" s="2"/>
      <c r="E164" s="5" t="str">
        <f>VLOOKUP($D163,PRECIOS_REFERENCIAS!A$3:D$90,3,FALSE)</f>
        <v>SUSTITUCIÓN DE PERFIL SOPORTE DE PLC EXISTENTE POR NUEVO PERFIL DE PLC DEFINIDO, DENTRO DEL ARMARIO ELÉCTRICO ACTUAL.</v>
      </c>
      <c r="F164" s="3"/>
      <c r="G164" s="2"/>
      <c r="H164" s="40"/>
      <c r="I164" s="6"/>
    </row>
    <row r="165" spans="1:9" hidden="1" outlineLevel="2">
      <c r="A165" s="24" t="s">
        <v>150</v>
      </c>
      <c r="B165" s="2" t="s">
        <v>104</v>
      </c>
      <c r="C165" s="2" t="s">
        <v>16</v>
      </c>
      <c r="D165" s="2" t="s">
        <v>104</v>
      </c>
      <c r="E165" s="39" t="str">
        <f>VLOOKUP($D165,PRECIOS_REFERENCIAS!A$3:D$48,2,FALSE)</f>
        <v>SUMINISTRO DE CPU REMOTAS</v>
      </c>
      <c r="F165" s="3">
        <v>1</v>
      </c>
      <c r="G165" s="2" t="s">
        <v>18</v>
      </c>
      <c r="H165" s="40">
        <f>VLOOKUP($D165,PRECIOS_REFERENCIAS!A$3:D$48,4,FALSE)</f>
        <v>416.28749999999997</v>
      </c>
      <c r="I165" s="6">
        <f>H165*F165</f>
        <v>416.28749999999997</v>
      </c>
    </row>
    <row r="166" spans="1:9" hidden="1" outlineLevel="2">
      <c r="A166" s="23"/>
      <c r="B166" s="38"/>
      <c r="C166" s="38"/>
      <c r="D166" s="38"/>
      <c r="E166" s="5" t="str">
        <f>VLOOKUP($D165,PRECIOS_REFERENCIAS!A$3:D$48,3,FALSE)</f>
        <v>SIMATIC S7-1200 - CPU 1214C //6ES7214-1AG40-0XB0</v>
      </c>
      <c r="F166" s="7"/>
      <c r="G166" s="7"/>
      <c r="I166" s="6"/>
    </row>
    <row r="167" spans="1:9" hidden="1" outlineLevel="2">
      <c r="A167" s="24" t="s">
        <v>151</v>
      </c>
      <c r="B167" s="2" t="s">
        <v>20</v>
      </c>
      <c r="C167" s="2" t="s">
        <v>21</v>
      </c>
      <c r="D167" s="2" t="s">
        <v>28</v>
      </c>
      <c r="E167" s="39" t="str">
        <f>VLOOKUP($D167,PRECIOS_REFERENCIAS!A$3:D$90,2,FALSE)</f>
        <v>INSTALACION CPU</v>
      </c>
      <c r="F167" s="3">
        <v>1</v>
      </c>
      <c r="G167" s="2" t="s">
        <v>18</v>
      </c>
      <c r="H167" s="40">
        <f>VLOOKUP($D167,PRECIOS_REFERENCIAS!A$3:D$90,4,FALSE)</f>
        <v>123.90076030798227</v>
      </c>
      <c r="I167" s="6">
        <f>H167*F167</f>
        <v>123.90076030798227</v>
      </c>
    </row>
    <row r="168" spans="1:9" hidden="1" outlineLevel="2">
      <c r="A168" s="23"/>
      <c r="B168" s="2"/>
      <c r="C168" s="2"/>
      <c r="D168" s="2"/>
      <c r="E168" s="5" t="str">
        <f>VLOOKUP($D167,PRECIOS_REFERENCIAS!A$3:D$90,3,FALSE)</f>
        <v>SUSTITUCIÓN DE CPU DE PLC EXISTENTE POR NUEVA CPU DE PLC DEFINIDA</v>
      </c>
      <c r="F168" s="3"/>
      <c r="G168" s="2"/>
      <c r="H168" s="40"/>
      <c r="I168" s="6"/>
    </row>
    <row r="169" spans="1:9" hidden="1" outlineLevel="2">
      <c r="A169" s="24" t="s">
        <v>152</v>
      </c>
      <c r="B169" s="2" t="s">
        <v>153</v>
      </c>
      <c r="C169" s="2" t="s">
        <v>16</v>
      </c>
      <c r="D169" s="2" t="s">
        <v>153</v>
      </c>
      <c r="E169" s="39" t="str">
        <f>VLOOKUP($D169,PRECIOS_REFERENCIAS!A$3:D$48,2,FALSE)</f>
        <v>SUMINISTRO DE FUENTE ALIMENTACIÓN CPU REMOTAS</v>
      </c>
      <c r="F169" s="3">
        <v>1</v>
      </c>
      <c r="G169" s="2" t="s">
        <v>18</v>
      </c>
      <c r="H169" s="40">
        <f>VLOOKUP($D169,PRECIOS_REFERENCIAS!A$3:D$48,4,FALSE)</f>
        <v>180.01500000000001</v>
      </c>
      <c r="I169" s="6">
        <f>H169*F169</f>
        <v>180.01500000000001</v>
      </c>
    </row>
    <row r="170" spans="1:9" hidden="1" outlineLevel="2">
      <c r="A170" s="23"/>
      <c r="B170" s="7"/>
      <c r="C170" s="7"/>
      <c r="D170" s="7"/>
      <c r="E170" s="5" t="str">
        <f>VLOOKUP($D169,PRECIOS_REFERENCIAS!A$3:D$48,3,FALSE)</f>
        <v>SITOP PSU6200 24 V/10 A // 6EP3334-7SB00-3AX0    </v>
      </c>
      <c r="F170" s="7"/>
      <c r="G170" s="7"/>
      <c r="I170" s="6"/>
    </row>
    <row r="171" spans="1:9" hidden="1" outlineLevel="2">
      <c r="A171" s="24" t="s">
        <v>154</v>
      </c>
      <c r="B171" s="2" t="s">
        <v>155</v>
      </c>
      <c r="C171" s="2" t="s">
        <v>16</v>
      </c>
      <c r="D171" s="2" t="s">
        <v>156</v>
      </c>
      <c r="E171" s="39" t="str">
        <f>VLOOKUP($D171,PRECIOS_REFERENCIAS!A$3:D$98,2,FALSE)</f>
        <v>TARJETA DE MEMORIA S7-1200</v>
      </c>
      <c r="F171" s="3">
        <v>1</v>
      </c>
      <c r="G171" s="2" t="s">
        <v>18</v>
      </c>
      <c r="H171" s="40">
        <f>VLOOKUP($D171,PRECIOS_REFERENCIAS!A$3:D$100,4,FALSE)</f>
        <v>263.13750000000005</v>
      </c>
      <c r="I171" s="6">
        <f>H171*F171</f>
        <v>263.13750000000005</v>
      </c>
    </row>
    <row r="172" spans="1:9" hidden="1" outlineLevel="2">
      <c r="A172" s="23"/>
      <c r="B172" s="7"/>
      <c r="C172" s="7"/>
      <c r="D172" s="7"/>
      <c r="E172" s="5" t="str">
        <f>VLOOKUP($D171,PRECIOS_REFERENCIAS!A$3:D$98,3,FALSE)</f>
        <v>SIMATIC S7 Memory Card, 24 MB //6ES7954-8LF03-0AA0</v>
      </c>
      <c r="F172" s="7"/>
      <c r="G172" s="7"/>
      <c r="I172" s="6"/>
    </row>
    <row r="173" spans="1:9" hidden="1" outlineLevel="2">
      <c r="A173" s="24" t="s">
        <v>157</v>
      </c>
      <c r="B173" s="2" t="s">
        <v>158</v>
      </c>
      <c r="C173" s="2" t="s">
        <v>16</v>
      </c>
      <c r="D173" s="2" t="s">
        <v>159</v>
      </c>
      <c r="E173" s="39" t="str">
        <f>VLOOKUP($D173,PRECIOS_REFERENCIAS!A$3:D$90,2,FALSE)</f>
        <v>TARJETA COMUNICACIONES  S7-1200</v>
      </c>
      <c r="F173" s="3">
        <v>1</v>
      </c>
      <c r="G173" s="2" t="s">
        <v>18</v>
      </c>
      <c r="H173" s="40">
        <f>VLOOKUP($D173,PRECIOS_REFERENCIAS!A$3:D$90,4,FALSE)</f>
        <v>518.66999999999996</v>
      </c>
      <c r="I173" s="6">
        <f>H173*F173</f>
        <v>518.66999999999996</v>
      </c>
    </row>
    <row r="174" spans="1:9" hidden="1" outlineLevel="2">
      <c r="A174" s="23"/>
      <c r="B174" s="2"/>
      <c r="C174" s="38"/>
      <c r="D174" s="2"/>
      <c r="E174" s="5" t="str">
        <f>VLOOKUP($D173,PRECIOS_REFERENCIAS!A$3:D$90,3,FALSE)</f>
        <v>SIMATIC S7-1200  Modulo Ethernet CP 1243-1  //6GK7243-1BX30-0XE0</v>
      </c>
      <c r="F174" s="3"/>
      <c r="G174" s="2"/>
      <c r="H174" s="40"/>
      <c r="I174" s="6"/>
    </row>
    <row r="175" spans="1:9" hidden="1" outlineLevel="2">
      <c r="A175" s="24" t="s">
        <v>160</v>
      </c>
      <c r="B175" s="2" t="s">
        <v>20</v>
      </c>
      <c r="C175" s="2" t="s">
        <v>21</v>
      </c>
      <c r="D175" s="2" t="s">
        <v>161</v>
      </c>
      <c r="E175" s="39" t="str">
        <f>VLOOKUP($D175,PRECIOS_REFERENCIAS!A$3:D$90,2,FALSE)</f>
        <v>INSTALACION COM ADICIONAL</v>
      </c>
      <c r="F175" s="3">
        <v>1</v>
      </c>
      <c r="G175" s="2" t="s">
        <v>18</v>
      </c>
      <c r="H175" s="40">
        <f>VLOOKUP($D175,PRECIOS_REFERENCIAS!A$3:D$90,4,FALSE)</f>
        <v>40</v>
      </c>
      <c r="I175" s="6">
        <f>H175*F175</f>
        <v>40</v>
      </c>
    </row>
    <row r="176" spans="1:9" hidden="1" outlineLevel="2">
      <c r="A176" s="23"/>
      <c r="B176" s="7"/>
      <c r="C176" s="7"/>
      <c r="D176" s="7"/>
      <c r="E176" s="5" t="str">
        <f>VLOOKUP($D175,PRECIOS_REFERENCIAS!A$3:D$90,3,FALSE)</f>
        <v xml:space="preserve">INSTALACION TARJETA COMUNICACIONES ADICIONAL </v>
      </c>
      <c r="F176" s="7"/>
      <c r="G176" s="7"/>
      <c r="I176" s="6"/>
    </row>
    <row r="177" spans="1:9" hidden="1" outlineLevel="2">
      <c r="A177" s="24" t="s">
        <v>162</v>
      </c>
      <c r="B177" s="2" t="s">
        <v>108</v>
      </c>
      <c r="C177" s="2" t="s">
        <v>16</v>
      </c>
      <c r="D177" s="2" t="s">
        <v>108</v>
      </c>
      <c r="E177" s="39" t="str">
        <f>VLOOKUP($D177,PRECIOS_REFERENCIAS!A$3:D$48,2,FALSE)</f>
        <v>SUMINISTRO MÓDULO DE 16 ENTRADAS DIGITALES</v>
      </c>
      <c r="F177" s="3">
        <v>1</v>
      </c>
      <c r="G177" s="2" t="s">
        <v>18</v>
      </c>
      <c r="H177" s="40">
        <f>VLOOKUP($D177,PRECIOS_REFERENCIAS!A$3:D$48,4,FALSE)</f>
        <v>177.54749999999999</v>
      </c>
      <c r="I177" s="6">
        <f>H177*F177</f>
        <v>177.54749999999999</v>
      </c>
    </row>
    <row r="178" spans="1:9" hidden="1" outlineLevel="2">
      <c r="A178" s="23"/>
      <c r="B178" s="7"/>
      <c r="C178" s="38"/>
      <c r="D178" s="7"/>
      <c r="E178" s="5" t="str">
        <f>VLOOKUP($D177,PRECIOS_REFERENCIAS!A$3:D$48,3,FALSE)</f>
        <v xml:space="preserve">SIMATIC S7-1200,  Módulo SM1221 //6ES7221-1BH32-0XB0 </v>
      </c>
      <c r="F178" s="7"/>
      <c r="G178" s="7"/>
      <c r="I178" s="6"/>
    </row>
    <row r="179" spans="1:9" hidden="1" outlineLevel="2">
      <c r="A179" s="24" t="s">
        <v>163</v>
      </c>
      <c r="B179" s="2" t="s">
        <v>20</v>
      </c>
      <c r="C179" s="2" t="s">
        <v>21</v>
      </c>
      <c r="D179" s="2" t="s">
        <v>35</v>
      </c>
      <c r="E179" s="39" t="str">
        <f>VLOOKUP($D179,PRECIOS_REFERENCIAS!A$3:D$90,2,FALSE)</f>
        <v>INSTALACION ED</v>
      </c>
      <c r="F179" s="3">
        <v>2</v>
      </c>
      <c r="G179" s="2" t="s">
        <v>18</v>
      </c>
      <c r="H179" s="40">
        <f>VLOOKUP($D179,PRECIOS_REFERENCIAS!A$3:D$90,4,FALSE)</f>
        <v>161.97310014887609</v>
      </c>
      <c r="I179" s="6">
        <f>H179*F179</f>
        <v>323.94620029775217</v>
      </c>
    </row>
    <row r="180" spans="1:9" hidden="1" outlineLevel="2">
      <c r="A180" s="23"/>
      <c r="B180" s="2"/>
      <c r="C180" s="2"/>
      <c r="D180" s="2"/>
      <c r="E180" s="5" t="str">
        <f>VLOOKUP($D179,PRECIOS_REFERENCIAS!A$3:D$90,3,FALSE)</f>
        <v>SUSTITUCIÓN DE MÓDULO DE E/S DIGITALES DE PLC EXISTENTE POR NUEVO MÓDULO DE PLC DEFINIDO. ENTRADA DIGITAL 16</v>
      </c>
      <c r="F180" s="3"/>
      <c r="G180" s="2"/>
      <c r="H180" s="40"/>
      <c r="I180" s="6"/>
    </row>
    <row r="181" spans="1:9" hidden="1" outlineLevel="2">
      <c r="A181" s="24" t="s">
        <v>164</v>
      </c>
      <c r="B181" s="2" t="s">
        <v>165</v>
      </c>
      <c r="C181" s="2" t="s">
        <v>16</v>
      </c>
      <c r="D181" s="2" t="s">
        <v>165</v>
      </c>
      <c r="E181" s="39" t="str">
        <f>VLOOKUP($D181,PRECIOS_REFERENCIAS!A$3:D$48,2,FALSE)</f>
        <v>SUMINISTRO MÓDULO DE 16 SALIDAS DIGITALES</v>
      </c>
      <c r="F181" s="3">
        <v>1</v>
      </c>
      <c r="G181" s="2" t="s">
        <v>18</v>
      </c>
      <c r="H181" s="40">
        <f>VLOOKUP($D181,PRECIOS_REFERENCIAS!A$3:D$48,4,FALSE)</f>
        <v>177.54749999999999</v>
      </c>
      <c r="I181" s="6">
        <f>H181*F181</f>
        <v>177.54749999999999</v>
      </c>
    </row>
    <row r="182" spans="1:9" hidden="1" outlineLevel="2">
      <c r="A182" s="23"/>
      <c r="B182" s="7"/>
      <c r="C182" s="38"/>
      <c r="D182" s="7"/>
      <c r="E182" s="5" t="str">
        <f>VLOOKUP($D181,PRECIOS_REFERENCIAS!A$3:D$48,3,FALSE)</f>
        <v xml:space="preserve">SIMATIC S7-1200,  Módulo SM1222 //6ES7222-1BH32-0XB0 </v>
      </c>
      <c r="F182" s="7"/>
      <c r="G182" s="7"/>
      <c r="I182" s="6"/>
    </row>
    <row r="183" spans="1:9" hidden="1" outlineLevel="2">
      <c r="A183" s="24" t="s">
        <v>166</v>
      </c>
      <c r="B183" s="2" t="s">
        <v>20</v>
      </c>
      <c r="C183" s="2" t="s">
        <v>21</v>
      </c>
      <c r="D183" s="2" t="s">
        <v>41</v>
      </c>
      <c r="E183" s="39" t="str">
        <f>VLOOKUP($D183,PRECIOS_REFERENCIAS!A$3:D$90,2,FALSE)</f>
        <v>INSTALACION SD</v>
      </c>
      <c r="F183" s="3">
        <v>2</v>
      </c>
      <c r="G183" s="2" t="s">
        <v>18</v>
      </c>
      <c r="H183" s="40">
        <f>VLOOKUP($D183,PRECIOS_REFERENCIAS!A$3:D$90,4,FALSE)</f>
        <v>162.83522293745065</v>
      </c>
      <c r="I183" s="6">
        <f>H183*F183</f>
        <v>325.6704458749013</v>
      </c>
    </row>
    <row r="184" spans="1:9" hidden="1" outlineLevel="2">
      <c r="A184" s="23"/>
      <c r="B184" s="2"/>
      <c r="C184" s="2"/>
      <c r="D184" s="2"/>
      <c r="E184" s="5" t="str">
        <f>VLOOKUP($D183,PRECIOS_REFERENCIAS!A$3:D$90,3,FALSE)</f>
        <v>SUSTITUCIÓN DE MÓDULO DE E/S DIGITALES DE PLC EXISTENTE POR NUEVO MÓDULO DE PLC DEFINIDO. SALIDA DIGITAL 16</v>
      </c>
      <c r="F184" s="3"/>
      <c r="G184" s="2"/>
      <c r="H184" s="40"/>
      <c r="I184" s="6"/>
    </row>
    <row r="185" spans="1:9" hidden="1" outlineLevel="2">
      <c r="A185" s="24" t="s">
        <v>167</v>
      </c>
      <c r="B185" s="2" t="s">
        <v>114</v>
      </c>
      <c r="C185" s="2" t="s">
        <v>16</v>
      </c>
      <c r="D185" s="2" t="s">
        <v>114</v>
      </c>
      <c r="E185" s="39" t="str">
        <f>VLOOKUP($D185,PRECIOS_REFERENCIAS!A$3:D$48,2,FALSE)</f>
        <v>SUMINISTRO MÓDULO DE 8 ENTRADAS ANALÓGICAS</v>
      </c>
      <c r="F185" s="3">
        <v>1</v>
      </c>
      <c r="G185" s="2" t="s">
        <v>18</v>
      </c>
      <c r="H185" s="40">
        <f>VLOOKUP($D185,PRECIOS_REFERENCIAS!A$3:D$48,4,FALSE)</f>
        <v>372.39749999999998</v>
      </c>
      <c r="I185" s="6">
        <f>H185*F185</f>
        <v>372.39749999999998</v>
      </c>
    </row>
    <row r="186" spans="1:9" hidden="1" outlineLevel="2">
      <c r="A186" s="23"/>
      <c r="B186" s="7"/>
      <c r="C186" s="38"/>
      <c r="D186" s="7"/>
      <c r="E186" s="5" t="str">
        <f>VLOOKUP($D185,PRECIOS_REFERENCIAS!A$3:D$48,3,FALSE)</f>
        <v xml:space="preserve">SIMATIC S7-1200,  Módulo de Entradas analógicas, SM 1231, 8 EA //6ES7231-4HF32-0XB0 </v>
      </c>
      <c r="F186" s="7"/>
      <c r="G186" s="7"/>
      <c r="I186" s="6"/>
    </row>
    <row r="187" spans="1:9" hidden="1" outlineLevel="2">
      <c r="A187" s="24" t="s">
        <v>168</v>
      </c>
      <c r="B187" s="2" t="s">
        <v>20</v>
      </c>
      <c r="C187" s="2" t="s">
        <v>21</v>
      </c>
      <c r="D187" s="2" t="s">
        <v>46</v>
      </c>
      <c r="E187" s="39" t="str">
        <f>VLOOKUP($D187,PRECIOS_REFERENCIAS!A$3:D$90,2,FALSE)</f>
        <v>INSTALACION EA</v>
      </c>
      <c r="F187" s="3">
        <v>2</v>
      </c>
      <c r="G187" s="2" t="s">
        <v>18</v>
      </c>
      <c r="H187" s="40">
        <f>VLOOKUP($D187,PRECIOS_REFERENCIAS!A$3:D$90,4,FALSE)</f>
        <v>237.18351660213608</v>
      </c>
      <c r="I187" s="6">
        <f>H187*F187</f>
        <v>474.36703320427216</v>
      </c>
    </row>
    <row r="188" spans="1:9" hidden="1" outlineLevel="2">
      <c r="A188" s="23"/>
      <c r="B188" s="2"/>
      <c r="C188" s="2"/>
      <c r="D188" s="2"/>
      <c r="E188" s="5" t="str">
        <f>VLOOKUP($D187,PRECIOS_REFERENCIAS!A$3:D$90,3,FALSE)</f>
        <v>SUSTITUCIÓN DE MÓDULO DE E/S ANALÓGICAS DE PLC EXISTENTE POR NUEVO MÓDULO DE PLC DEFINIDO. ENTRADA ANALÓGICAS 8</v>
      </c>
      <c r="F188" s="3"/>
      <c r="G188" s="2"/>
      <c r="H188" s="40"/>
      <c r="I188" s="6"/>
    </row>
    <row r="189" spans="1:9" hidden="1" outlineLevel="2">
      <c r="A189" s="24" t="s">
        <v>169</v>
      </c>
      <c r="B189" s="2" t="s">
        <v>170</v>
      </c>
      <c r="C189" s="2" t="s">
        <v>16</v>
      </c>
      <c r="D189" s="2" t="s">
        <v>170</v>
      </c>
      <c r="E189" s="39" t="str">
        <f>VLOOKUP($D189,PRECIOS_REFERENCIAS!A$3:D$48,2,FALSE)</f>
        <v>SUMINISTRO MÓDULO DE 2 SALIDAS ANALÓGICAS</v>
      </c>
      <c r="F189" s="3">
        <v>1</v>
      </c>
      <c r="G189" s="2" t="s">
        <v>18</v>
      </c>
      <c r="H189" s="40">
        <f>VLOOKUP($D189,PRECIOS_REFERENCIAS!A$3:D$48,4,FALSE)</f>
        <v>243.10499999999999</v>
      </c>
      <c r="I189" s="6">
        <f>H189*F189</f>
        <v>243.10499999999999</v>
      </c>
    </row>
    <row r="190" spans="1:9" hidden="1" outlineLevel="2">
      <c r="A190" s="23"/>
      <c r="B190" s="7"/>
      <c r="C190" s="38"/>
      <c r="D190" s="7"/>
      <c r="E190" s="5" t="str">
        <f>VLOOKUP($D189,PRECIOS_REFERENCIAS!A$3:D$48,3,FALSE)</f>
        <v xml:space="preserve">SIMATIC S7-1200,  Módulo de Salidas analógicas, SM 1232, 2 AO //6ES7232-4HB32-0XB0 </v>
      </c>
      <c r="F190" s="7"/>
      <c r="G190" s="7"/>
      <c r="I190" s="6"/>
    </row>
    <row r="191" spans="1:9" hidden="1" outlineLevel="2">
      <c r="A191" s="24" t="s">
        <v>171</v>
      </c>
      <c r="B191" s="2" t="s">
        <v>20</v>
      </c>
      <c r="C191" s="2" t="s">
        <v>21</v>
      </c>
      <c r="D191" s="2" t="s">
        <v>51</v>
      </c>
      <c r="E191" s="39" t="str">
        <f>VLOOKUP($D191,PRECIOS_REFERENCIAS!A$3:D$90,2,FALSE)</f>
        <v>INSTALACION SA</v>
      </c>
      <c r="F191" s="3">
        <f>F189</f>
        <v>1</v>
      </c>
      <c r="G191" s="2" t="s">
        <v>18</v>
      </c>
      <c r="H191" s="40">
        <f>VLOOKUP($D191,PRECIOS_REFERENCIAS!A$3:D$90,4,FALSE)</f>
        <v>160</v>
      </c>
      <c r="I191" s="6">
        <f>H191*F191</f>
        <v>160</v>
      </c>
    </row>
    <row r="192" spans="1:9" hidden="1" outlineLevel="2">
      <c r="A192" s="23"/>
      <c r="B192" s="2"/>
      <c r="C192" s="2"/>
      <c r="D192" s="2"/>
      <c r="E192" s="5" t="str">
        <f>VLOOKUP($D191,PRECIOS_REFERENCIAS!A$3:D$90,3,FALSE)</f>
        <v>SUSTITUCIÓN DE MÓDULO DE E/S ANALÓGICAS DE PLC EXISTENTE POR NUEVO MÓDULO DE PLC DEFINIDO. SALIDAS ANALÓGICAS 2</v>
      </c>
      <c r="F192" s="3"/>
      <c r="G192" s="2"/>
      <c r="H192" s="40"/>
      <c r="I192" s="6"/>
    </row>
    <row r="193" spans="1:9" hidden="1" outlineLevel="2">
      <c r="A193" s="24" t="s">
        <v>172</v>
      </c>
      <c r="B193" s="2" t="s">
        <v>54</v>
      </c>
      <c r="C193" s="2" t="s">
        <v>16</v>
      </c>
      <c r="D193" s="2" t="s">
        <v>54</v>
      </c>
      <c r="E193" s="39" t="str">
        <f>VLOOKUP($D193,PRECIOS_REFERENCIAS!A$3:D$48,2,FALSE)</f>
        <v>HMI LOCAL 7" ETHERNET Y COLOR</v>
      </c>
      <c r="F193" s="3">
        <v>1</v>
      </c>
      <c r="G193" s="2" t="s">
        <v>18</v>
      </c>
      <c r="H193" s="40">
        <f>VLOOKUP($D193,PRECIOS_REFERENCIAS!A$3:D$48,4,FALSE)</f>
        <v>612.79</v>
      </c>
      <c r="I193" s="6">
        <f>H193*F193</f>
        <v>612.79</v>
      </c>
    </row>
    <row r="194" spans="1:9" hidden="1" outlineLevel="2">
      <c r="A194" s="23"/>
      <c r="B194" s="2"/>
      <c r="C194" s="38"/>
      <c r="D194" s="2"/>
      <c r="E194" s="5" t="str">
        <f>VLOOKUP($D193,PRECIOS_REFERENCIAS!A$3:D$48,3,FALSE)</f>
        <v>SIMATIC HMI, KTP700 Basic, Basic Panel, Manejo con teclado/táctil, pantalla TFT de 7", 65536 colores // 6ES7531-7NF00-0AB0</v>
      </c>
      <c r="F194" s="7"/>
      <c r="G194" s="7"/>
      <c r="I194" s="6"/>
    </row>
    <row r="195" spans="1:9" hidden="1" outlineLevel="2">
      <c r="A195" s="24" t="s">
        <v>173</v>
      </c>
      <c r="B195" s="2" t="s">
        <v>20</v>
      </c>
      <c r="C195" s="2" t="s">
        <v>21</v>
      </c>
      <c r="D195" s="2" t="s">
        <v>56</v>
      </c>
      <c r="E195" s="39" t="str">
        <f>VLOOKUP($D195,PRECIOS_REFERENCIAS!A$3:D$90,2,FALSE)</f>
        <v>INSTALACION HMI</v>
      </c>
      <c r="F195" s="3">
        <f>F193</f>
        <v>1</v>
      </c>
      <c r="G195" s="2" t="s">
        <v>18</v>
      </c>
      <c r="H195" s="40">
        <f>VLOOKUP($D195,PRECIOS_REFERENCIAS!A$3:D$90,4,FALSE)</f>
        <v>125</v>
      </c>
      <c r="I195" s="6">
        <f>H195*F195</f>
        <v>125</v>
      </c>
    </row>
    <row r="196" spans="1:9" hidden="1" outlineLevel="2">
      <c r="A196" s="23"/>
      <c r="B196" s="2"/>
      <c r="C196" s="2"/>
      <c r="D196" s="2"/>
      <c r="E196" s="5" t="str">
        <f>VLOOKUP($D195,PRECIOS_REFERENCIAS!A$3:D$90,3,FALSE)</f>
        <v>INSTALACIÓN DE PANTALLA HMI</v>
      </c>
      <c r="F196" s="3"/>
      <c r="G196" s="2"/>
      <c r="H196" s="40"/>
      <c r="I196" s="6"/>
    </row>
    <row r="197" spans="1:9" hidden="1" outlineLevel="2">
      <c r="A197" s="24" t="s">
        <v>174</v>
      </c>
      <c r="B197" s="2" t="s">
        <v>175</v>
      </c>
      <c r="C197" s="2" t="s">
        <v>16</v>
      </c>
      <c r="D197" s="2" t="s">
        <v>176</v>
      </c>
      <c r="E197" s="39" t="str">
        <f>VLOOKUP($D197,PRECIOS_REFERENCIAS!A$3:D$48,2,FALSE)</f>
        <v>SWITCH SHDSL 4 PUERTOS + BYPASS</v>
      </c>
      <c r="F197" s="3">
        <v>1</v>
      </c>
      <c r="G197" s="2" t="s">
        <v>18</v>
      </c>
      <c r="H197" s="40">
        <f>VLOOKUP($D197,PRECIOS_REFERENCIAS!A$3:D$48,4,FALSE)</f>
        <v>1024.6500000000001</v>
      </c>
      <c r="I197" s="6">
        <f>H197*F197</f>
        <v>1024.6500000000001</v>
      </c>
    </row>
    <row r="198" spans="1:9" hidden="1" outlineLevel="2">
      <c r="A198" s="23"/>
      <c r="B198" s="2"/>
      <c r="C198" s="38"/>
      <c r="D198" s="2"/>
      <c r="E198" s="5" t="str">
        <f>VLOOKUP($D197,PRECIOS_REFERENCIAS!A$3:D$48,3,FALSE)</f>
        <v>SWITCH XSLAN+BP4200 O SIMILAR</v>
      </c>
      <c r="F198" s="7"/>
      <c r="G198" s="7"/>
      <c r="I198" s="6"/>
    </row>
    <row r="199" spans="1:9" hidden="1" outlineLevel="2">
      <c r="A199" s="24" t="s">
        <v>177</v>
      </c>
      <c r="B199" s="2" t="s">
        <v>20</v>
      </c>
      <c r="C199" s="2" t="s">
        <v>21</v>
      </c>
      <c r="D199" s="2" t="s">
        <v>61</v>
      </c>
      <c r="E199" s="39" t="str">
        <f>VLOOKUP($D199,PRECIOS_REFERENCIAS!A$3:D$90,2,FALSE)</f>
        <v>INSTALACION SWITCH SHDSL</v>
      </c>
      <c r="F199" s="3">
        <f>F197</f>
        <v>1</v>
      </c>
      <c r="G199" s="2" t="s">
        <v>18</v>
      </c>
      <c r="H199" s="40">
        <f>VLOOKUP($D199,PRECIOS_REFERENCIAS!A$3:D$90,4,FALSE)</f>
        <v>40</v>
      </c>
      <c r="I199" s="6">
        <f>H199*F199</f>
        <v>40</v>
      </c>
    </row>
    <row r="200" spans="1:9" hidden="1" outlineLevel="2">
      <c r="A200" s="23"/>
      <c r="B200" s="2"/>
      <c r="C200" s="2"/>
      <c r="D200" s="2"/>
      <c r="E200" s="5" t="str">
        <f>VLOOKUP($D199,PRECIOS_REFERENCIAS!A$3:D$90,3,FALSE)</f>
        <v>INSTALACIÓN DE ROUTER</v>
      </c>
      <c r="F200" s="3"/>
      <c r="G200" s="2"/>
      <c r="H200" s="40"/>
      <c r="I200" s="6"/>
    </row>
    <row r="201" spans="1:9" hidden="1" outlineLevel="2">
      <c r="A201" s="24" t="s">
        <v>178</v>
      </c>
      <c r="B201" s="2" t="s">
        <v>63</v>
      </c>
      <c r="C201" s="2" t="s">
        <v>16</v>
      </c>
      <c r="D201" s="2" t="s">
        <v>63</v>
      </c>
      <c r="E201" s="39" t="str">
        <f>VLOOKUP($D201,PRECIOS_REFERENCIAS!A$3:D$48,2,FALSE)</f>
        <v>DESCARGADOR DE SOBRETENSIONES LÍNEA SHDSL</v>
      </c>
      <c r="F201" s="3">
        <v>2</v>
      </c>
      <c r="G201" s="2" t="s">
        <v>18</v>
      </c>
      <c r="H201" s="40">
        <f>VLOOKUP($D201,PRECIOS_REFERENCIAS!A$3:D$48,4,FALSE)</f>
        <v>187</v>
      </c>
      <c r="I201" s="6">
        <f>H201*F201</f>
        <v>374</v>
      </c>
    </row>
    <row r="202" spans="1:9" hidden="1" outlineLevel="2">
      <c r="A202" s="23"/>
      <c r="B202" s="2"/>
      <c r="C202" s="38"/>
      <c r="D202" s="2"/>
      <c r="E202" s="5" t="str">
        <f>VLOOKUP($D201,PRECIOS_REFERENCIAS!A$3:D$48,3,FALSE)</f>
        <v>Equipo DT-TELE-SHDSL de Phoenix Contact con 2 puertos para conexión SHDSL</v>
      </c>
      <c r="F202" s="7"/>
      <c r="G202" s="7"/>
      <c r="I202" s="6"/>
    </row>
    <row r="203" spans="1:9" hidden="1" outlineLevel="2">
      <c r="A203" s="24" t="s">
        <v>179</v>
      </c>
      <c r="B203" s="2" t="s">
        <v>20</v>
      </c>
      <c r="C203" s="2" t="s">
        <v>21</v>
      </c>
      <c r="D203" s="2" t="s">
        <v>65</v>
      </c>
      <c r="E203" s="39" t="str">
        <f>VLOOKUP($D203,PRECIOS_REFERENCIAS!A$3:D$90,2,FALSE)</f>
        <v>INSTALACION DESCARGADOR</v>
      </c>
      <c r="F203" s="3">
        <f>F201</f>
        <v>2</v>
      </c>
      <c r="G203" s="2" t="s">
        <v>18</v>
      </c>
      <c r="H203" s="40">
        <f>VLOOKUP($D203,PRECIOS_REFERENCIAS!A$3:D$90,4,FALSE)</f>
        <v>64.403155112394401</v>
      </c>
      <c r="I203" s="6">
        <f>H203*F203</f>
        <v>128.8063102247888</v>
      </c>
    </row>
    <row r="204" spans="1:9" hidden="1" outlineLevel="2">
      <c r="A204" s="23"/>
      <c r="B204" s="2"/>
      <c r="C204" s="2"/>
      <c r="D204" s="2"/>
      <c r="E204" s="5" t="str">
        <f>VLOOKUP($D203,PRECIOS_REFERENCIAS!A$3:D$90,3,FALSE)</f>
        <v>INSTALACIÓN DE PROTECCIÓN CONTRA SOBRETENSIONES</v>
      </c>
      <c r="F204" s="3"/>
      <c r="G204" s="2"/>
      <c r="H204" s="40"/>
      <c r="I204" s="6"/>
    </row>
    <row r="205" spans="1:9" hidden="1" outlineLevel="2">
      <c r="A205" s="24" t="s">
        <v>180</v>
      </c>
      <c r="B205" s="2" t="s">
        <v>79</v>
      </c>
      <c r="C205" s="2" t="s">
        <v>80</v>
      </c>
      <c r="D205" s="2" t="s">
        <v>81</v>
      </c>
      <c r="E205" s="39" t="str">
        <f>VLOOKUP($D205,PRECIOS_REFERENCIAS!A$3:D$90,2,FALSE)</f>
        <v>PLANIFICACION</v>
      </c>
      <c r="F205" s="3">
        <v>1</v>
      </c>
      <c r="G205" s="2" t="s">
        <v>18</v>
      </c>
      <c r="H205" s="40">
        <f>VLOOKUP($D205,PRECIOS_REFERENCIAS!A$3:D$90,4,FALSE)</f>
        <v>40</v>
      </c>
      <c r="I205" s="6">
        <f>H205*F205</f>
        <v>40</v>
      </c>
    </row>
    <row r="206" spans="1:9" hidden="1" outlineLevel="2">
      <c r="A206" s="23"/>
      <c r="B206" s="2"/>
      <c r="C206" s="2"/>
      <c r="D206" s="2"/>
      <c r="E206" s="5" t="str">
        <f>VLOOKUP($D205,PRECIOS_REFERENCIAS!A$3:D$90,3,FALSE)</f>
        <v>PLANIFICACIÓN DE LOS TRABAJOS Y DESCARGA EN LOCAL DEL PROGRAMA DEL PLC</v>
      </c>
      <c r="F206" s="3"/>
      <c r="G206" s="2"/>
      <c r="H206" s="40"/>
      <c r="I206" s="6"/>
    </row>
    <row r="207" spans="1:9" hidden="1" outlineLevel="2">
      <c r="A207" s="24" t="s">
        <v>181</v>
      </c>
      <c r="B207" s="2" t="s">
        <v>83</v>
      </c>
      <c r="C207" s="2" t="s">
        <v>80</v>
      </c>
      <c r="D207" s="2" t="s">
        <v>80</v>
      </c>
      <c r="E207" s="39" t="str">
        <f>VLOOKUP($D207,PRECIOS_REFERENCIAS!A$3:D$90,2,FALSE)</f>
        <v>INGENIERIA + ESQUEMAS</v>
      </c>
      <c r="F207" s="3">
        <v>1</v>
      </c>
      <c r="G207" s="2" t="s">
        <v>18</v>
      </c>
      <c r="H207" s="40">
        <f>VLOOKUP($D207,PRECIOS_REFERENCIAS!A$3:D$90,4,FALSE)</f>
        <v>300</v>
      </c>
      <c r="I207" s="6">
        <f>H207*F207</f>
        <v>300</v>
      </c>
    </row>
    <row r="208" spans="1:9" ht="27.75" hidden="1" customHeight="1" outlineLevel="2">
      <c r="A208" s="23"/>
      <c r="B208" s="2"/>
      <c r="C208" s="2"/>
      <c r="D208" s="2"/>
      <c r="E208" s="5" t="str">
        <f>VLOOKUP($D207,PRECIOS_REFERENCIAS!A$3:D$90,3,FALSE)</f>
        <v>INGENIERÍA DE ACTUALIZACIÓN DE ESQUEMAS ELÉCTRICOS. INCLUYE LA REVISIÓN LOCAL DE LOS CUADROS Y ELEMENTOS DE CONTROL, ASÍ COMO LA COMPROBACIÓN DE LAS SEÑALES DE CONTROL.</v>
      </c>
      <c r="F208" s="3"/>
      <c r="G208" s="2"/>
      <c r="H208" s="40"/>
      <c r="I208" s="6"/>
    </row>
    <row r="209" spans="1:10" hidden="1" outlineLevel="2">
      <c r="A209" s="24" t="s">
        <v>182</v>
      </c>
      <c r="B209" s="2" t="s">
        <v>88</v>
      </c>
      <c r="C209" s="2" t="s">
        <v>80</v>
      </c>
      <c r="D209" s="2" t="s">
        <v>89</v>
      </c>
      <c r="E209" s="39" t="str">
        <f>VLOOKUP($D209,PRECIOS_REFERENCIAS!A$3:D$90,2,FALSE)</f>
        <v>PROGRAMA PLC NUEVO</v>
      </c>
      <c r="F209" s="3">
        <v>1</v>
      </c>
      <c r="G209" s="2" t="s">
        <v>18</v>
      </c>
      <c r="H209" s="40">
        <f>VLOOKUP($D209,PRECIOS_REFERENCIAS!A$3:D$90,4,FALSE)</f>
        <v>407.75660964439658</v>
      </c>
      <c r="I209" s="6">
        <f>H209*F209</f>
        <v>407.75660964439658</v>
      </c>
    </row>
    <row r="210" spans="1:10" hidden="1" outlineLevel="2">
      <c r="A210" s="23"/>
      <c r="B210" s="2"/>
      <c r="C210" s="2"/>
      <c r="D210" s="2"/>
      <c r="E210" s="5" t="str">
        <f>VLOOKUP($D209,PRECIOS_REFERENCIAS!A$3:D$90,3,FALSE)</f>
        <v>MIGRACION DEL PROGRAMA ACTUAL A LA NUEVA PLATAFORMA DE PROGRAMACION</v>
      </c>
      <c r="I210" s="6"/>
    </row>
    <row r="211" spans="1:10" hidden="1" outlineLevel="2">
      <c r="A211" s="24" t="s">
        <v>183</v>
      </c>
      <c r="B211" s="2" t="s">
        <v>94</v>
      </c>
      <c r="C211" s="2" t="s">
        <v>80</v>
      </c>
      <c r="D211" s="2" t="s">
        <v>95</v>
      </c>
      <c r="E211" s="39" t="str">
        <f>VLOOKUP($D211,PRECIOS_REFERENCIAS!A$3:D$90,2,FALSE)</f>
        <v>PEM REMOTA</v>
      </c>
      <c r="F211" s="3">
        <v>1</v>
      </c>
      <c r="G211" s="2" t="s">
        <v>18</v>
      </c>
      <c r="H211" s="40">
        <f>VLOOKUP($D211,PRECIOS_REFERENCIAS!A$3:D$90,4,FALSE)</f>
        <v>851.7</v>
      </c>
      <c r="I211" s="6">
        <f>H211*F211</f>
        <v>851.7</v>
      </c>
    </row>
    <row r="212" spans="1:10" ht="27.75" hidden="1" customHeight="1" outlineLevel="2">
      <c r="A212" s="23"/>
      <c r="B212" s="2"/>
      <c r="C212" s="2"/>
      <c r="D212" s="2"/>
      <c r="E212" s="5" t="str">
        <f>VLOOKUP($D211,PRECIOS_REFERENCIAS!A$3:D$90,3,FALSE)</f>
        <v>PUESTA EN MARCHA DEL PROGRAMA DE CONTROL LOCAL</v>
      </c>
      <c r="F212" s="3"/>
      <c r="G212" s="2"/>
      <c r="H212" s="40"/>
      <c r="I212" s="6"/>
    </row>
    <row r="213" spans="1:10" hidden="1" outlineLevel="2">
      <c r="A213" s="24" t="s">
        <v>184</v>
      </c>
      <c r="B213" s="2" t="s">
        <v>97</v>
      </c>
      <c r="C213" s="2" t="s">
        <v>80</v>
      </c>
      <c r="D213" s="2" t="s">
        <v>98</v>
      </c>
      <c r="E213" s="39" t="str">
        <f>VLOOKUP($D213,PRECIOS_REFERENCIAS!A$3:D$90,2,FALSE)</f>
        <v>REVISION SCADA</v>
      </c>
      <c r="F213" s="3">
        <v>1</v>
      </c>
      <c r="G213" s="2" t="s">
        <v>18</v>
      </c>
      <c r="H213" s="40">
        <f>VLOOKUP($D213,PRECIOS_REFERENCIAS!A$3:D$90,4,FALSE)</f>
        <v>60</v>
      </c>
      <c r="I213" s="6">
        <f>H213*F213</f>
        <v>60</v>
      </c>
    </row>
    <row r="214" spans="1:10" hidden="1" outlineLevel="2">
      <c r="A214" s="23"/>
      <c r="B214" s="2"/>
      <c r="C214" s="2"/>
      <c r="D214" s="2"/>
      <c r="E214" s="5" t="str">
        <f>VLOOKUP($D213,PRECIOS_REFERENCIAS!A$3:D$90,3,FALSE)</f>
        <v>REVISIÓN DEL PROGRAMA DE SUPERVISIÓN SCADA</v>
      </c>
      <c r="I214" s="6"/>
    </row>
    <row r="215" spans="1:10" hidden="1" outlineLevel="2">
      <c r="A215" s="23"/>
      <c r="B215" s="2"/>
      <c r="C215" s="2" t="s">
        <v>16</v>
      </c>
      <c r="D215" s="2"/>
      <c r="E215" s="76" t="str">
        <f>CONCATENATE(E160," - TOTAL HARDWARE")</f>
        <v>ER2 BOMBEO BRINKOLA - TOTAL HARDWARE</v>
      </c>
      <c r="F215" s="74"/>
      <c r="G215" s="74"/>
      <c r="H215" s="74"/>
      <c r="I215" s="75">
        <f>I161+I165+I169+I173+I177+I181+I185+I189+I193+I197+I201+I171</f>
        <v>4362.7956182073294</v>
      </c>
    </row>
    <row r="216" spans="1:10" hidden="1" outlineLevel="2">
      <c r="A216" s="23"/>
      <c r="B216" s="2"/>
      <c r="C216" s="2" t="s">
        <v>21</v>
      </c>
      <c r="D216" s="2"/>
      <c r="E216" s="76" t="str">
        <f>CONCATENATE(E160," -TOTAL INSTALACION")</f>
        <v>ER2 BOMBEO BRINKOLA -TOTAL INSTALACION</v>
      </c>
      <c r="F216" s="74"/>
      <c r="G216" s="74"/>
      <c r="H216" s="74"/>
      <c r="I216" s="75">
        <f>I163+I167+I175+I179+I183+I187+I195+I191+I199+I203</f>
        <v>1777.0930028496127</v>
      </c>
    </row>
    <row r="217" spans="1:10" hidden="1" outlineLevel="2">
      <c r="A217" s="23"/>
      <c r="B217" s="2"/>
      <c r="C217" s="2" t="s">
        <v>80</v>
      </c>
      <c r="D217" s="2"/>
      <c r="E217" s="76" t="str">
        <f>CONCATENATE(E160," -TOTAL INGENIERIA")</f>
        <v>ER2 BOMBEO BRINKOLA -TOTAL INGENIERIA</v>
      </c>
      <c r="F217" s="74"/>
      <c r="G217" s="74"/>
      <c r="H217" s="74"/>
      <c r="I217" s="75">
        <f>I205+I207+I209+I211+I213</f>
        <v>1659.4566096443966</v>
      </c>
      <c r="J217" s="22">
        <f>SUM(I215:I217)</f>
        <v>7799.3452307013386</v>
      </c>
    </row>
    <row r="218" spans="1:10" hidden="1" outlineLevel="2">
      <c r="E218" s="41" t="str">
        <f>CONCATENATE("TOTAL ",A160)</f>
        <v>TOTAL  SUBCAPÍTULO 01.04</v>
      </c>
      <c r="F218" s="41"/>
      <c r="G218" s="41"/>
      <c r="H218" s="41"/>
      <c r="I218" s="42">
        <f>SUM(I161:I214)</f>
        <v>7799.3452307013386</v>
      </c>
    </row>
    <row r="219" spans="1:10" hidden="1" outlineLevel="1">
      <c r="A219" s="44" t="s">
        <v>185</v>
      </c>
      <c r="B219" s="44"/>
      <c r="C219" s="44"/>
      <c r="D219" s="44"/>
      <c r="E219" s="43" t="s">
        <v>186</v>
      </c>
      <c r="F219" s="44"/>
      <c r="G219" s="44" t="s">
        <v>11</v>
      </c>
      <c r="H219" s="45"/>
      <c r="I219" s="64">
        <f>I289</f>
        <v>6987.3919521135131</v>
      </c>
    </row>
    <row r="220" spans="1:10" hidden="1" outlineLevel="2">
      <c r="A220" s="24" t="s">
        <v>187</v>
      </c>
      <c r="B220" s="2" t="s">
        <v>15</v>
      </c>
      <c r="C220" s="2" t="s">
        <v>16</v>
      </c>
      <c r="D220" s="2" t="s">
        <v>15</v>
      </c>
      <c r="E220" s="39" t="str">
        <f>VLOOKUP($D220,PRECIOS_REFERENCIAS!A$3:D$90,2,FALSE)</f>
        <v xml:space="preserve">CARRIL DIN </v>
      </c>
      <c r="F220" s="3">
        <v>1</v>
      </c>
      <c r="G220" s="2" t="s">
        <v>18</v>
      </c>
      <c r="H220" s="40">
        <f>VLOOKUP($D220,PRECIOS_REFERENCIAS!A$3:D$90,4,FALSE)</f>
        <v>2.6481182073295662</v>
      </c>
      <c r="I220" s="6">
        <f>H220*F220</f>
        <v>2.6481182073295662</v>
      </c>
      <c r="J220" s="22"/>
    </row>
    <row r="221" spans="1:10" hidden="1" outlineLevel="2">
      <c r="A221" s="23"/>
      <c r="B221" s="2"/>
      <c r="C221" s="2"/>
      <c r="D221" s="2"/>
      <c r="E221" s="5" t="str">
        <f>VLOOKUP($D220,PRECIOS_REFERENCIAS!A$3:D$90,3,FALSE)</f>
        <v>CARRIL DIN PARA REMOTA S7-1200</v>
      </c>
      <c r="F221" s="3"/>
      <c r="G221" s="2"/>
      <c r="H221" s="40"/>
      <c r="I221" s="6"/>
      <c r="J221" s="22"/>
    </row>
    <row r="222" spans="1:10" hidden="1" outlineLevel="2">
      <c r="A222" s="24" t="s">
        <v>188</v>
      </c>
      <c r="B222" s="2" t="s">
        <v>20</v>
      </c>
      <c r="C222" s="2" t="s">
        <v>21</v>
      </c>
      <c r="D222" s="2" t="s">
        <v>22</v>
      </c>
      <c r="E222" s="39" t="str">
        <f>VLOOKUP($D222,PRECIOS_REFERENCIAS!A$3:D$90,2,FALSE)</f>
        <v xml:space="preserve">INSTALACION CARRIL DIN </v>
      </c>
      <c r="F222" s="3">
        <v>1</v>
      </c>
      <c r="G222" s="2" t="s">
        <v>18</v>
      </c>
      <c r="H222" s="40">
        <f>VLOOKUP($D222,PRECIOS_REFERENCIAS!A$3:D$90,4,FALSE)</f>
        <v>35.402252939916011</v>
      </c>
      <c r="I222" s="6">
        <f>H222*F222</f>
        <v>35.402252939916011</v>
      </c>
      <c r="J222" s="22"/>
    </row>
    <row r="223" spans="1:10" hidden="1" outlineLevel="2">
      <c r="A223" s="23"/>
      <c r="B223" s="2"/>
      <c r="C223" s="2"/>
      <c r="D223" s="2"/>
      <c r="E223" s="5" t="str">
        <f>VLOOKUP($D222,PRECIOS_REFERENCIAS!A$3:D$90,3,FALSE)</f>
        <v>SUSTITUCIÓN DE PERFIL SOPORTE DE PLC EXISTENTE POR NUEVO PERFIL DE PLC DEFINIDO, DENTRO DEL ARMARIO ELÉCTRICO ACTUAL.</v>
      </c>
      <c r="F223" s="3"/>
      <c r="G223" s="2"/>
      <c r="H223" s="40"/>
      <c r="I223" s="6"/>
    </row>
    <row r="224" spans="1:10" hidden="1" outlineLevel="2">
      <c r="A224" s="24" t="s">
        <v>189</v>
      </c>
      <c r="B224" s="2" t="s">
        <v>104</v>
      </c>
      <c r="C224" s="2" t="s">
        <v>16</v>
      </c>
      <c r="D224" s="2" t="s">
        <v>104</v>
      </c>
      <c r="E224" s="39" t="str">
        <f>VLOOKUP($D224,PRECIOS_REFERENCIAS!A$3:D$48,2,FALSE)</f>
        <v>SUMINISTRO DE CPU REMOTAS</v>
      </c>
      <c r="F224" s="3">
        <v>1</v>
      </c>
      <c r="G224" s="2" t="s">
        <v>18</v>
      </c>
      <c r="H224" s="40">
        <f>VLOOKUP($D224,PRECIOS_REFERENCIAS!A$3:D$48,4,FALSE)</f>
        <v>416.28749999999997</v>
      </c>
      <c r="I224" s="6">
        <f>H224*F224</f>
        <v>416.28749999999997</v>
      </c>
    </row>
    <row r="225" spans="1:9" hidden="1" outlineLevel="2">
      <c r="A225" s="23"/>
      <c r="B225" s="38"/>
      <c r="C225" s="38"/>
      <c r="D225" s="38"/>
      <c r="E225" s="5" t="str">
        <f>VLOOKUP($D224,PRECIOS_REFERENCIAS!A$3:D$48,3,FALSE)</f>
        <v>SIMATIC S7-1200 - CPU 1214C //6ES7214-1AG40-0XB0</v>
      </c>
      <c r="F225" s="7"/>
      <c r="G225" s="7"/>
      <c r="I225" s="6"/>
    </row>
    <row r="226" spans="1:9" hidden="1" outlineLevel="2">
      <c r="A226" s="24" t="s">
        <v>190</v>
      </c>
      <c r="B226" s="2" t="s">
        <v>20</v>
      </c>
      <c r="C226" s="2" t="s">
        <v>21</v>
      </c>
      <c r="D226" s="2" t="s">
        <v>28</v>
      </c>
      <c r="E226" s="39" t="str">
        <f>VLOOKUP($D226,PRECIOS_REFERENCIAS!A$3:D$90,2,FALSE)</f>
        <v>INSTALACION CPU</v>
      </c>
      <c r="F226" s="3">
        <v>1</v>
      </c>
      <c r="G226" s="2" t="s">
        <v>18</v>
      </c>
      <c r="H226" s="40">
        <f>VLOOKUP($D226,PRECIOS_REFERENCIAS!A$3:D$90,4,FALSE)</f>
        <v>123.90076030798227</v>
      </c>
      <c r="I226" s="6">
        <f>H226*F226</f>
        <v>123.90076030798227</v>
      </c>
    </row>
    <row r="227" spans="1:9" hidden="1" outlineLevel="2">
      <c r="A227" s="23"/>
      <c r="B227" s="2"/>
      <c r="C227" s="2"/>
      <c r="D227" s="2"/>
      <c r="E227" s="5" t="str">
        <f>VLOOKUP($D226,PRECIOS_REFERENCIAS!A$3:D$90,3,FALSE)</f>
        <v>SUSTITUCIÓN DE CPU DE PLC EXISTENTE POR NUEVA CPU DE PLC DEFINIDA</v>
      </c>
      <c r="F227" s="3"/>
      <c r="G227" s="2"/>
      <c r="H227" s="40"/>
      <c r="I227" s="6"/>
    </row>
    <row r="228" spans="1:9" hidden="1" outlineLevel="2">
      <c r="A228" s="24" t="s">
        <v>191</v>
      </c>
      <c r="B228" s="2" t="s">
        <v>153</v>
      </c>
      <c r="C228" s="2" t="s">
        <v>16</v>
      </c>
      <c r="D228" s="2" t="s">
        <v>153</v>
      </c>
      <c r="E228" s="39" t="str">
        <f>VLOOKUP($D228,PRECIOS_REFERENCIAS!A$3:D$48,2,FALSE)</f>
        <v>SUMINISTRO DE FUENTE ALIMENTACIÓN CPU REMOTAS</v>
      </c>
      <c r="F228" s="3">
        <v>1</v>
      </c>
      <c r="G228" s="2" t="s">
        <v>18</v>
      </c>
      <c r="H228" s="40">
        <f>VLOOKUP($D228,PRECIOS_REFERENCIAS!A$3:D$48,4,FALSE)</f>
        <v>180.01500000000001</v>
      </c>
      <c r="I228" s="6">
        <f>H228*F228</f>
        <v>180.01500000000001</v>
      </c>
    </row>
    <row r="229" spans="1:9" hidden="1" outlineLevel="2">
      <c r="A229" s="23"/>
      <c r="B229" s="7"/>
      <c r="C229" s="7"/>
      <c r="D229" s="7"/>
      <c r="E229" s="5" t="str">
        <f>VLOOKUP($D228,PRECIOS_REFERENCIAS!A$3:D$48,3,FALSE)</f>
        <v>SITOP PSU6200 24 V/10 A // 6EP3334-7SB00-3AX0    </v>
      </c>
      <c r="F229" s="7"/>
      <c r="G229" s="7"/>
      <c r="I229" s="6"/>
    </row>
    <row r="230" spans="1:9" hidden="1" outlineLevel="2">
      <c r="A230" s="24" t="s">
        <v>192</v>
      </c>
      <c r="B230" s="2" t="s">
        <v>155</v>
      </c>
      <c r="C230" s="2" t="s">
        <v>16</v>
      </c>
      <c r="D230" s="2" t="s">
        <v>156</v>
      </c>
      <c r="E230" s="39" t="str">
        <f>VLOOKUP($D230,PRECIOS_REFERENCIAS!A$3:D$98,2,FALSE)</f>
        <v>TARJETA DE MEMORIA S7-1200</v>
      </c>
      <c r="F230" s="3">
        <v>1</v>
      </c>
      <c r="G230" s="2" t="s">
        <v>18</v>
      </c>
      <c r="H230" s="40">
        <f>VLOOKUP($D230,PRECIOS_REFERENCIAS!A$3:D$100,4,FALSE)</f>
        <v>263.13750000000005</v>
      </c>
      <c r="I230" s="6">
        <f>H230*F230</f>
        <v>263.13750000000005</v>
      </c>
    </row>
    <row r="231" spans="1:9" hidden="1" outlineLevel="2">
      <c r="A231" s="23"/>
      <c r="B231" s="7"/>
      <c r="C231" s="7"/>
      <c r="D231" s="7"/>
      <c r="E231" s="5" t="str">
        <f>VLOOKUP($D230,PRECIOS_REFERENCIAS!A$3:D$98,3,FALSE)</f>
        <v>SIMATIC S7 Memory Card, 24 MB //6ES7954-8LF03-0AA0</v>
      </c>
      <c r="F231" s="7"/>
      <c r="G231" s="7"/>
      <c r="I231" s="6"/>
    </row>
    <row r="232" spans="1:9" hidden="1" outlineLevel="2">
      <c r="A232" s="24" t="s">
        <v>193</v>
      </c>
      <c r="B232" s="2" t="s">
        <v>158</v>
      </c>
      <c r="C232" s="2" t="s">
        <v>16</v>
      </c>
      <c r="D232" s="2" t="s">
        <v>159</v>
      </c>
      <c r="E232" s="39" t="str">
        <f>VLOOKUP($D232,PRECIOS_REFERENCIAS!A$3:D$90,2,FALSE)</f>
        <v>TARJETA COMUNICACIONES  S7-1200</v>
      </c>
      <c r="F232" s="3">
        <v>1</v>
      </c>
      <c r="G232" s="2" t="s">
        <v>18</v>
      </c>
      <c r="H232" s="40">
        <f>VLOOKUP($D232,PRECIOS_REFERENCIAS!A$3:D$90,4,FALSE)</f>
        <v>518.66999999999996</v>
      </c>
      <c r="I232" s="6">
        <f>H232*F232</f>
        <v>518.66999999999996</v>
      </c>
    </row>
    <row r="233" spans="1:9" hidden="1" outlineLevel="2">
      <c r="A233" s="23"/>
      <c r="B233" s="2"/>
      <c r="C233" s="38"/>
      <c r="D233" s="2"/>
      <c r="E233" s="5" t="str">
        <f>VLOOKUP($D232,PRECIOS_REFERENCIAS!A$3:D$90,3,FALSE)</f>
        <v>SIMATIC S7-1200  Modulo Ethernet CP 1243-1  //6GK7243-1BX30-0XE0</v>
      </c>
      <c r="F233" s="3"/>
      <c r="G233" s="2"/>
      <c r="H233" s="40"/>
      <c r="I233" s="6"/>
    </row>
    <row r="234" spans="1:9" hidden="1" outlineLevel="2">
      <c r="A234" s="24" t="s">
        <v>194</v>
      </c>
      <c r="B234" s="2" t="s">
        <v>20</v>
      </c>
      <c r="C234" s="2" t="s">
        <v>21</v>
      </c>
      <c r="D234" s="2" t="s">
        <v>161</v>
      </c>
      <c r="E234" s="39" t="str">
        <f>VLOOKUP($D234,PRECIOS_REFERENCIAS!A$3:D$90,2,FALSE)</f>
        <v>INSTALACION COM ADICIONAL</v>
      </c>
      <c r="F234" s="3">
        <v>1</v>
      </c>
      <c r="G234" s="2" t="s">
        <v>18</v>
      </c>
      <c r="H234" s="40">
        <f>VLOOKUP($D234,PRECIOS_REFERENCIAS!A$3:D$90,4,FALSE)</f>
        <v>40</v>
      </c>
      <c r="I234" s="6">
        <f>H234*F234</f>
        <v>40</v>
      </c>
    </row>
    <row r="235" spans="1:9" hidden="1" outlineLevel="2">
      <c r="A235" s="23"/>
      <c r="B235" s="7"/>
      <c r="C235" s="7"/>
      <c r="D235" s="7"/>
      <c r="E235" s="5" t="str">
        <f>VLOOKUP($D234,PRECIOS_REFERENCIAS!A$3:D$90,3,FALSE)</f>
        <v xml:space="preserve">INSTALACION TARJETA COMUNICACIONES ADICIONAL </v>
      </c>
      <c r="F235" s="7"/>
      <c r="G235" s="7"/>
      <c r="I235" s="6"/>
    </row>
    <row r="236" spans="1:9" hidden="1" outlineLevel="2">
      <c r="A236" s="24" t="s">
        <v>195</v>
      </c>
      <c r="B236" s="2" t="s">
        <v>196</v>
      </c>
      <c r="C236" s="2" t="s">
        <v>16</v>
      </c>
      <c r="D236" s="2" t="s">
        <v>197</v>
      </c>
      <c r="E236" s="39" t="str">
        <f>VLOOKUP($D236,PRECIOS_REFERENCIAS!A$3:D$48,2,FALSE)</f>
        <v>TARJETA COMUNICACIÓN RS485 S7-1200</v>
      </c>
      <c r="F236" s="3">
        <v>1</v>
      </c>
      <c r="G236" s="2" t="s">
        <v>18</v>
      </c>
      <c r="H236" s="40">
        <f>VLOOKUP($D236,PRECIOS_REFERENCIAS!A$3:D$48,4,FALSE)</f>
        <v>130.19999999999999</v>
      </c>
      <c r="I236" s="6">
        <f>H236*F236</f>
        <v>130.19999999999999</v>
      </c>
    </row>
    <row r="237" spans="1:9" hidden="1" outlineLevel="2">
      <c r="A237" s="23"/>
      <c r="B237" s="7"/>
      <c r="C237" s="38"/>
      <c r="D237" s="7"/>
      <c r="E237" s="5" t="str">
        <f>VLOOKUP($D236,PRECIOS_REFERENCIAS!A$3:D$48,3,FALSE)</f>
        <v>Modul de comunic. CM 1241, RS422/485  //6ES7241-1CH32-0XB0</v>
      </c>
      <c r="F237" s="7"/>
      <c r="G237" s="7"/>
      <c r="I237" s="6"/>
    </row>
    <row r="238" spans="1:9" hidden="1" outlineLevel="2">
      <c r="A238" s="24" t="s">
        <v>198</v>
      </c>
      <c r="B238" s="2" t="s">
        <v>20</v>
      </c>
      <c r="C238" s="2" t="s">
        <v>21</v>
      </c>
      <c r="D238" s="2" t="s">
        <v>199</v>
      </c>
      <c r="E238" s="39" t="str">
        <f>VLOOKUP($D238,PRECIOS_REFERENCIAS!A$3:D$90,2,FALSE)</f>
        <v>INSTALACION CABLEADO MODBUS CAUDALIMETRO</v>
      </c>
      <c r="F238" s="3">
        <v>2</v>
      </c>
      <c r="G238" s="2" t="s">
        <v>18</v>
      </c>
      <c r="H238" s="40">
        <f>VLOOKUP($D238,PRECIOS_REFERENCIAS!A$3:D$90,4,FALSE)</f>
        <v>40</v>
      </c>
      <c r="I238" s="6">
        <f>H238*F238</f>
        <v>80</v>
      </c>
    </row>
    <row r="239" spans="1:9" hidden="1" outlineLevel="2">
      <c r="A239" s="23"/>
      <c r="B239" s="2"/>
      <c r="C239" s="2"/>
      <c r="D239" s="2"/>
      <c r="E239" s="5" t="str">
        <f>VLOOKUP($D238,PRECIOS_REFERENCIAS!A$3:D$90,3,FALSE)</f>
        <v>INSTALACIÓN DEL CABLEADO MODUS PARA CADA CAUDALIMETRO CON COMUNICACIÓN MODBUS</v>
      </c>
      <c r="F239" s="3"/>
      <c r="G239" s="2"/>
      <c r="H239" s="40"/>
      <c r="I239" s="6"/>
    </row>
    <row r="240" spans="1:9" hidden="1" outlineLevel="2">
      <c r="A240" s="24" t="s">
        <v>200</v>
      </c>
      <c r="B240" s="2" t="s">
        <v>201</v>
      </c>
      <c r="C240" s="2" t="s">
        <v>16</v>
      </c>
      <c r="D240" s="2" t="s">
        <v>202</v>
      </c>
      <c r="E240" s="39" t="str">
        <f>VLOOKUP($D240,PRECIOS_REFERENCIAS!A$3:D$48,2,FALSE)</f>
        <v>TARJETA COMUNICACIÓN MODBUS CAUDALIMETRO</v>
      </c>
      <c r="F240" s="3">
        <f>F238</f>
        <v>2</v>
      </c>
      <c r="G240" s="2" t="s">
        <v>18</v>
      </c>
      <c r="H240" s="40">
        <f>VLOOKUP($D240,PRECIOS_REFERENCIAS!A$3:D$48,4,FALSE)</f>
        <v>183.48750000000001</v>
      </c>
      <c r="I240" s="6">
        <f>H240*F240</f>
        <v>366.97500000000002</v>
      </c>
    </row>
    <row r="241" spans="1:9" hidden="1" outlineLevel="2">
      <c r="A241" s="23"/>
      <c r="B241" s="7"/>
      <c r="C241" s="38"/>
      <c r="D241" s="7"/>
      <c r="E241" s="5" t="str">
        <f>VLOOKUP($D240,PRECIOS_REFERENCIAS!A$3:D$48,3,FALSE)</f>
        <v>TARJETA MODBUS RTU/RS485 para caudalímetro MAG 6000 // FDK:085U0234</v>
      </c>
      <c r="F241" s="7"/>
      <c r="G241" s="7"/>
      <c r="I241" s="6"/>
    </row>
    <row r="242" spans="1:9" hidden="1" outlineLevel="2">
      <c r="A242" s="24" t="s">
        <v>203</v>
      </c>
      <c r="B242" s="2" t="s">
        <v>20</v>
      </c>
      <c r="C242" s="2" t="s">
        <v>21</v>
      </c>
      <c r="D242" s="2" t="s">
        <v>204</v>
      </c>
      <c r="E242" s="39" t="str">
        <f>VLOOKUP($D242,PRECIOS_REFERENCIAS!A$3:D$90,2,FALSE)</f>
        <v>INSTALACION TARJETA MODBUS CAUDALIMETRO</v>
      </c>
      <c r="F242" s="3">
        <f>F240</f>
        <v>2</v>
      </c>
      <c r="G242" s="2" t="s">
        <v>18</v>
      </c>
      <c r="H242" s="40">
        <f>VLOOKUP($D242,PRECIOS_REFERENCIAS!A$3:D$90,4,FALSE)</f>
        <v>40</v>
      </c>
      <c r="I242" s="6">
        <f>H242*F242</f>
        <v>80</v>
      </c>
    </row>
    <row r="243" spans="1:9" hidden="1" outlineLevel="2">
      <c r="A243" s="23"/>
      <c r="B243" s="2"/>
      <c r="C243" s="2"/>
      <c r="D243" s="2"/>
      <c r="E243" s="5" t="str">
        <f>VLOOKUP($D242,PRECIOS_REFERENCIAS!A$3:D$90,3,FALSE)</f>
        <v>INSTALACIÓN DE LA TARJETA DE MODBUS EN EL CAUDALIMETRO</v>
      </c>
      <c r="F243" s="3"/>
      <c r="G243" s="2"/>
      <c r="H243" s="40"/>
      <c r="I243" s="6"/>
    </row>
    <row r="244" spans="1:9" hidden="1" outlineLevel="2">
      <c r="A244" s="24" t="s">
        <v>205</v>
      </c>
      <c r="B244" s="2" t="s">
        <v>20</v>
      </c>
      <c r="C244" s="2" t="s">
        <v>21</v>
      </c>
      <c r="D244" s="2" t="s">
        <v>35</v>
      </c>
      <c r="E244" s="39" t="str">
        <f>VLOOKUP($D244,PRECIOS_REFERENCIAS!A$3:D$90,2,FALSE)</f>
        <v>INSTALACION ED</v>
      </c>
      <c r="F244" s="3">
        <v>1</v>
      </c>
      <c r="G244" s="2" t="s">
        <v>18</v>
      </c>
      <c r="H244" s="40">
        <f>VLOOKUP($D244,PRECIOS_REFERENCIAS!A$3:D$90,4,FALSE)</f>
        <v>161.97310014887609</v>
      </c>
      <c r="I244" s="6">
        <f>H244*F244</f>
        <v>161.97310014887609</v>
      </c>
    </row>
    <row r="245" spans="1:9" hidden="1" outlineLevel="2">
      <c r="A245" s="23"/>
      <c r="B245" s="2"/>
      <c r="C245" s="2"/>
      <c r="D245" s="2"/>
      <c r="E245" s="5" t="str">
        <f>VLOOKUP($D244,PRECIOS_REFERENCIAS!A$3:D$90,3,FALSE)</f>
        <v>SUSTITUCIÓN DE MÓDULO DE E/S DIGITALES DE PLC EXISTENTE POR NUEVO MÓDULO DE PLC DEFINIDO. ENTRADA DIGITAL 16</v>
      </c>
      <c r="F245" s="3"/>
      <c r="G245" s="2"/>
      <c r="H245" s="40"/>
      <c r="I245" s="6"/>
    </row>
    <row r="246" spans="1:9" hidden="1" outlineLevel="2">
      <c r="A246" s="24" t="s">
        <v>206</v>
      </c>
      <c r="B246" s="2" t="s">
        <v>20</v>
      </c>
      <c r="C246" s="2" t="s">
        <v>21</v>
      </c>
      <c r="D246" s="2" t="s">
        <v>46</v>
      </c>
      <c r="E246" s="39" t="str">
        <f>VLOOKUP($D246,PRECIOS_REFERENCIAS!A$3:D$90,2,FALSE)</f>
        <v>INSTALACION EA</v>
      </c>
      <c r="F246" s="3">
        <v>1</v>
      </c>
      <c r="G246" s="2" t="s">
        <v>18</v>
      </c>
      <c r="H246" s="40">
        <f>VLOOKUP($D246,PRECIOS_REFERENCIAS!A$3:D$90,4,FALSE)</f>
        <v>237.18351660213608</v>
      </c>
      <c r="I246" s="6">
        <f>H246*F246</f>
        <v>237.18351660213608</v>
      </c>
    </row>
    <row r="247" spans="1:9" hidden="1" outlineLevel="2">
      <c r="A247" s="23"/>
      <c r="B247" s="2"/>
      <c r="C247" s="2"/>
      <c r="D247" s="2"/>
      <c r="E247" s="5" t="str">
        <f>VLOOKUP($D246,PRECIOS_REFERENCIAS!A$3:D$90,3,FALSE)</f>
        <v>SUSTITUCIÓN DE MÓDULO DE E/S ANALÓGICAS DE PLC EXISTENTE POR NUEVO MÓDULO DE PLC DEFINIDO. ENTRADA ANALÓGICAS 8</v>
      </c>
      <c r="F247" s="3"/>
      <c r="G247" s="2"/>
      <c r="H247" s="40"/>
      <c r="I247" s="6"/>
    </row>
    <row r="248" spans="1:9" hidden="1" outlineLevel="2">
      <c r="A248" s="24" t="s">
        <v>207</v>
      </c>
      <c r="B248" s="2" t="s">
        <v>20</v>
      </c>
      <c r="C248" s="2" t="s">
        <v>21</v>
      </c>
      <c r="D248" s="2" t="s">
        <v>208</v>
      </c>
      <c r="E248" s="39" t="str">
        <f>VLOOKUP($D248,PRECIOS_REFERENCIAS!A$3:D$90,2,FALSE)</f>
        <v>RETIRADA CABLE CAUDAL SEÑAL ANALOGICA</v>
      </c>
      <c r="F248" s="3">
        <v>2</v>
      </c>
      <c r="G248" s="2" t="s">
        <v>18</v>
      </c>
      <c r="H248" s="40">
        <f>VLOOKUP($D248,PRECIOS_REFERENCIAS!A$3:D$90,4,FALSE)</f>
        <v>30</v>
      </c>
      <c r="I248" s="6">
        <f>H248*F248</f>
        <v>60</v>
      </c>
    </row>
    <row r="249" spans="1:9" hidden="1" outlineLevel="2">
      <c r="A249" s="23"/>
      <c r="B249" s="2"/>
      <c r="C249" s="2"/>
      <c r="D249" s="2"/>
      <c r="E249" s="5" t="str">
        <f>VLOOKUP($D248,PRECIOS_REFERENCIAS!A$3:D$90,3,FALSE)</f>
        <v>RETIRADA DEL CABLE ANALOGICO DEL CAUDALIMETRO POR LA COMUNICACIÓN ACTUAL MODBUS</v>
      </c>
      <c r="F249" s="3"/>
      <c r="G249" s="2"/>
      <c r="H249" s="40"/>
      <c r="I249" s="6"/>
    </row>
    <row r="250" spans="1:9" hidden="1" outlineLevel="2">
      <c r="A250" s="24" t="s">
        <v>209</v>
      </c>
      <c r="B250" s="2" t="s">
        <v>210</v>
      </c>
      <c r="C250" s="2" t="s">
        <v>16</v>
      </c>
      <c r="D250" s="2" t="s">
        <v>210</v>
      </c>
      <c r="E250" s="39" t="str">
        <f>VLOOKUP($D250,PRECIOS_REFERENCIAS!A$3:D$48,2,FALSE)</f>
        <v>HMI LOCAL 4" ETHERNET Y COLOR</v>
      </c>
      <c r="F250" s="3">
        <v>1</v>
      </c>
      <c r="G250" s="2" t="s">
        <v>18</v>
      </c>
      <c r="H250" s="40">
        <f>VLOOKUP($D250,PRECIOS_REFERENCIAS!A$3:D$48,4,FALSE)</f>
        <v>297.52999999999997</v>
      </c>
      <c r="I250" s="6">
        <f>H250*F250</f>
        <v>297.52999999999997</v>
      </c>
    </row>
    <row r="251" spans="1:9" hidden="1" outlineLevel="2">
      <c r="A251" s="23"/>
      <c r="B251" s="2"/>
      <c r="C251" s="38"/>
      <c r="D251" s="2"/>
      <c r="E251" s="5" t="str">
        <f>VLOOKUP($D250,PRECIOS_REFERENCIAS!A$3:D$48,3,FALSE)</f>
        <v>SIMATIC HMI, KTP400 Basic, Basic Panel, Manejo con teclado/táctil, pantalla TFT de 4", 65536 colores // 6AV2123-2GB03-0AX0</v>
      </c>
      <c r="F251" s="7"/>
      <c r="G251" s="7"/>
      <c r="I251" s="6"/>
    </row>
    <row r="252" spans="1:9" hidden="1" outlineLevel="2">
      <c r="A252" s="24" t="s">
        <v>211</v>
      </c>
      <c r="B252" s="2" t="s">
        <v>20</v>
      </c>
      <c r="C252" s="2" t="s">
        <v>21</v>
      </c>
      <c r="D252" s="2" t="s">
        <v>56</v>
      </c>
      <c r="E252" s="39" t="str">
        <f>VLOOKUP($D252,PRECIOS_REFERENCIAS!A$3:D$90,2,FALSE)</f>
        <v>INSTALACION HMI</v>
      </c>
      <c r="F252" s="3">
        <f>F250</f>
        <v>1</v>
      </c>
      <c r="G252" s="2" t="s">
        <v>18</v>
      </c>
      <c r="H252" s="40">
        <f>VLOOKUP($D252,PRECIOS_REFERENCIAS!A$3:D$90,4,FALSE)</f>
        <v>125</v>
      </c>
      <c r="I252" s="6">
        <f>H252*F252</f>
        <v>125</v>
      </c>
    </row>
    <row r="253" spans="1:9" hidden="1" outlineLevel="2">
      <c r="A253" s="23"/>
      <c r="B253" s="2"/>
      <c r="C253" s="2"/>
      <c r="D253" s="2"/>
      <c r="E253" s="5" t="str">
        <f>VLOOKUP($D252,PRECIOS_REFERENCIAS!A$3:D$90,3,FALSE)</f>
        <v>INSTALACIÓN DE PANTALLA HMI</v>
      </c>
      <c r="F253" s="3"/>
      <c r="G253" s="2"/>
      <c r="H253" s="40"/>
      <c r="I253" s="6"/>
    </row>
    <row r="254" spans="1:9" hidden="1" outlineLevel="2">
      <c r="A254" s="24" t="s">
        <v>212</v>
      </c>
      <c r="B254" s="2" t="s">
        <v>213</v>
      </c>
      <c r="C254" s="2" t="s">
        <v>16</v>
      </c>
      <c r="D254" s="2" t="s">
        <v>59</v>
      </c>
      <c r="E254" s="39" t="str">
        <f>VLOOKUP($D254,PRECIOS_REFERENCIAS!A$3:D$48,2,FALSE)</f>
        <v xml:space="preserve">SWITCH SHDSL 1 PUERTO </v>
      </c>
      <c r="F254" s="3">
        <v>1</v>
      </c>
      <c r="G254" s="2" t="s">
        <v>18</v>
      </c>
      <c r="H254" s="40">
        <f>VLOOKUP($D254,PRECIOS_REFERENCIAS!A$3:D$48,4,FALSE)</f>
        <v>828</v>
      </c>
      <c r="I254" s="6">
        <f>H254*F254</f>
        <v>828</v>
      </c>
    </row>
    <row r="255" spans="1:9" hidden="1" outlineLevel="2">
      <c r="A255" s="23"/>
      <c r="B255" s="2"/>
      <c r="C255" s="38"/>
      <c r="D255" s="2"/>
      <c r="E255" s="5" t="str">
        <f>VLOOKUP($D254,PRECIOS_REFERENCIAS!A$3:D$48,3,FALSE)</f>
        <v>SWITCH XSLAN+1400 O SIMILAR</v>
      </c>
      <c r="F255" s="7"/>
      <c r="G255" s="7"/>
      <c r="I255" s="6"/>
    </row>
    <row r="256" spans="1:9" hidden="1" outlineLevel="2">
      <c r="A256" s="24" t="s">
        <v>214</v>
      </c>
      <c r="B256" s="2" t="s">
        <v>20</v>
      </c>
      <c r="C256" s="2" t="s">
        <v>21</v>
      </c>
      <c r="D256" s="2" t="s">
        <v>61</v>
      </c>
      <c r="E256" s="39" t="str">
        <f>VLOOKUP($D256,PRECIOS_REFERENCIAS!A$3:D$90,2,FALSE)</f>
        <v>INSTALACION SWITCH SHDSL</v>
      </c>
      <c r="F256" s="3">
        <f>F254</f>
        <v>1</v>
      </c>
      <c r="G256" s="2" t="s">
        <v>18</v>
      </c>
      <c r="H256" s="40">
        <f>VLOOKUP($D256,PRECIOS_REFERENCIAS!A$3:D$90,4,FALSE)</f>
        <v>40</v>
      </c>
      <c r="I256" s="6">
        <f>H256*F256</f>
        <v>40</v>
      </c>
    </row>
    <row r="257" spans="1:9" hidden="1" outlineLevel="2">
      <c r="A257" s="23"/>
      <c r="B257" s="2"/>
      <c r="C257" s="2"/>
      <c r="D257" s="2"/>
      <c r="E257" s="5" t="str">
        <f>VLOOKUP($D256,PRECIOS_REFERENCIAS!A$3:D$90,3,FALSE)</f>
        <v>INSTALACIÓN DE ROUTER</v>
      </c>
      <c r="F257" s="3"/>
      <c r="G257" s="2"/>
      <c r="H257" s="40"/>
      <c r="I257" s="6"/>
    </row>
    <row r="258" spans="1:9" hidden="1" outlineLevel="2">
      <c r="A258" s="24" t="s">
        <v>215</v>
      </c>
      <c r="B258" s="2" t="s">
        <v>63</v>
      </c>
      <c r="C258" s="2" t="s">
        <v>16</v>
      </c>
      <c r="D258" s="2" t="s">
        <v>63</v>
      </c>
      <c r="E258" s="39" t="str">
        <f>VLOOKUP($D258,PRECIOS_REFERENCIAS!A$3:D$48,2,FALSE)</f>
        <v>DESCARGADOR DE SOBRETENSIONES LÍNEA SHDSL</v>
      </c>
      <c r="F258" s="3">
        <v>1</v>
      </c>
      <c r="G258" s="2" t="s">
        <v>18</v>
      </c>
      <c r="H258" s="40">
        <f>VLOOKUP($D258,PRECIOS_REFERENCIAS!A$3:D$48,4,FALSE)</f>
        <v>187</v>
      </c>
      <c r="I258" s="6">
        <f>H258*F258</f>
        <v>187</v>
      </c>
    </row>
    <row r="259" spans="1:9" hidden="1" outlineLevel="2">
      <c r="A259" s="23"/>
      <c r="B259" s="2"/>
      <c r="C259" s="38"/>
      <c r="D259" s="2"/>
      <c r="E259" s="5" t="str">
        <f>VLOOKUP($D258,PRECIOS_REFERENCIAS!A$3:D$48,3,FALSE)</f>
        <v>Equipo DT-TELE-SHDSL de Phoenix Contact con 2 puertos para conexión SHDSL</v>
      </c>
      <c r="F259" s="7"/>
      <c r="G259" s="7"/>
      <c r="I259" s="6"/>
    </row>
    <row r="260" spans="1:9" hidden="1" outlineLevel="2">
      <c r="A260" s="24" t="s">
        <v>216</v>
      </c>
      <c r="B260" s="2" t="s">
        <v>20</v>
      </c>
      <c r="C260" s="2" t="s">
        <v>21</v>
      </c>
      <c r="D260" s="2" t="s">
        <v>65</v>
      </c>
      <c r="E260" s="39" t="str">
        <f>VLOOKUP($D260,PRECIOS_REFERENCIAS!A$3:D$90,2,FALSE)</f>
        <v>INSTALACION DESCARGADOR</v>
      </c>
      <c r="F260" s="3">
        <f>F258</f>
        <v>1</v>
      </c>
      <c r="G260" s="2" t="s">
        <v>18</v>
      </c>
      <c r="H260" s="40">
        <f>VLOOKUP($D260,PRECIOS_REFERENCIAS!A$3:D$90,4,FALSE)</f>
        <v>64.403155112394401</v>
      </c>
      <c r="I260" s="6">
        <f>H260*F260</f>
        <v>64.403155112394401</v>
      </c>
    </row>
    <row r="261" spans="1:9" hidden="1" outlineLevel="2">
      <c r="A261" s="23"/>
      <c r="B261" s="2"/>
      <c r="C261" s="2"/>
      <c r="D261" s="2"/>
      <c r="E261" s="5" t="str">
        <f>VLOOKUP($D260,PRECIOS_REFERENCIAS!A$3:D$90,3,FALSE)</f>
        <v>INSTALACIÓN DE PROTECCIÓN CONTRA SOBRETENSIONES</v>
      </c>
      <c r="F261" s="3"/>
      <c r="G261" s="2"/>
      <c r="H261" s="40"/>
      <c r="I261" s="6"/>
    </row>
    <row r="262" spans="1:9" hidden="1" outlineLevel="2">
      <c r="A262" s="24" t="s">
        <v>217</v>
      </c>
      <c r="B262" s="2" t="s">
        <v>67</v>
      </c>
      <c r="C262" s="2" t="s">
        <v>16</v>
      </c>
      <c r="D262" s="2" t="s">
        <v>67</v>
      </c>
      <c r="E262" s="39" t="str">
        <f>VLOOKUP($D262,PRECIOS_REFERENCIAS!A$3:D$90,2,FALSE)</f>
        <v>ROUTER VPN 4G</v>
      </c>
      <c r="F262" s="3">
        <v>1</v>
      </c>
      <c r="G262" s="2" t="s">
        <v>18</v>
      </c>
      <c r="H262" s="40">
        <f>VLOOKUP($D262,PRECIOS_REFERENCIAS!A$3:D$90,4,FALSE)</f>
        <v>560.25</v>
      </c>
      <c r="I262" s="6">
        <f>H262*F262</f>
        <v>560.25</v>
      </c>
    </row>
    <row r="263" spans="1:9" hidden="1" outlineLevel="2">
      <c r="A263" s="23"/>
      <c r="B263" s="2"/>
      <c r="C263" s="38"/>
      <c r="D263" s="2"/>
      <c r="E263" s="5" t="str">
        <f>VLOOKUP($D262,PRECIOS_REFERENCIAS!A$3:D$90,3,FALSE)</f>
        <v>ROUTER IPL-C-100-LW O SIMILAR</v>
      </c>
      <c r="F263" s="7"/>
      <c r="G263" s="7"/>
      <c r="H263" s="40"/>
      <c r="I263" s="6"/>
    </row>
    <row r="264" spans="1:9" hidden="1" outlineLevel="2">
      <c r="A264" s="24" t="s">
        <v>218</v>
      </c>
      <c r="B264" s="2" t="s">
        <v>20</v>
      </c>
      <c r="C264" s="2" t="s">
        <v>21</v>
      </c>
      <c r="D264" s="2" t="s">
        <v>69</v>
      </c>
      <c r="E264" s="39" t="str">
        <f>VLOOKUP($D264,PRECIOS_REFERENCIAS!A$3:D$90,2,FALSE)</f>
        <v>INSTALACION ROUTER 4G</v>
      </c>
      <c r="F264" s="3">
        <f>F262</f>
        <v>1</v>
      </c>
      <c r="G264" s="2" t="s">
        <v>18</v>
      </c>
      <c r="H264" s="40">
        <f>VLOOKUP($D264,PRECIOS_REFERENCIAS!A$3:D$90,4,FALSE)</f>
        <v>40</v>
      </c>
      <c r="I264" s="6">
        <f>H264*F264</f>
        <v>40</v>
      </c>
    </row>
    <row r="265" spans="1:9" hidden="1" outlineLevel="2">
      <c r="A265" s="23"/>
      <c r="B265" s="2"/>
      <c r="C265" s="2"/>
      <c r="D265" s="2"/>
      <c r="E265" s="5" t="str">
        <f>VLOOKUP($D264,PRECIOS_REFERENCIAS!A$3:D$90,3,FALSE)</f>
        <v>INSTALACIÓN DE ROUTER 4G</v>
      </c>
      <c r="F265" s="3"/>
      <c r="G265" s="2"/>
      <c r="I265" s="6"/>
    </row>
    <row r="266" spans="1:9" hidden="1" outlineLevel="2">
      <c r="A266" s="24" t="s">
        <v>219</v>
      </c>
      <c r="B266" s="2" t="s">
        <v>71</v>
      </c>
      <c r="C266" s="2" t="s">
        <v>16</v>
      </c>
      <c r="D266" s="2" t="s">
        <v>71</v>
      </c>
      <c r="E266" s="39" t="str">
        <f>VLOOKUP($D266,PRECIOS_REFERENCIAS!A$3:D$90,2,FALSE)</f>
        <v>ANTENA 4G CON CABLE DE 5 METROS Y KIT MONTAJE ANTENA</v>
      </c>
      <c r="F266" s="3">
        <v>1</v>
      </c>
      <c r="G266" s="2" t="s">
        <v>18</v>
      </c>
      <c r="H266" s="40">
        <f>VLOOKUP($D266,PRECIOS_REFERENCIAS!A$3:D$90,4,FALSE)</f>
        <v>152.67857142857142</v>
      </c>
      <c r="I266" s="6">
        <f>H266*F266</f>
        <v>152.67857142857142</v>
      </c>
    </row>
    <row r="267" spans="1:9" hidden="1" outlineLevel="2">
      <c r="A267" s="23"/>
      <c r="C267" s="38"/>
      <c r="E267" s="5" t="str">
        <f>VLOOKUP($D266,PRECIOS_REFERENCIAS!A$3:D$90,3,FALSE)</f>
        <v>ANTENA 310 + KIT MONTAJE ANTENA 310</v>
      </c>
      <c r="I267" s="6"/>
    </row>
    <row r="268" spans="1:9" hidden="1" outlineLevel="2">
      <c r="A268" s="24" t="s">
        <v>220</v>
      </c>
      <c r="B268" s="2" t="s">
        <v>20</v>
      </c>
      <c r="C268" s="2" t="s">
        <v>21</v>
      </c>
      <c r="D268" s="2" t="s">
        <v>73</v>
      </c>
      <c r="E268" s="39" t="str">
        <f>VLOOKUP($D268,PRECIOS_REFERENCIAS!A$3:D$90,2,FALSE)</f>
        <v>INSTALACION ANTENA EXTERIOR</v>
      </c>
      <c r="F268" s="3">
        <f>F266</f>
        <v>1</v>
      </c>
      <c r="G268" s="2" t="s">
        <v>18</v>
      </c>
      <c r="H268" s="40">
        <f>VLOOKUP($D268,PRECIOS_REFERENCIAS!A$3:D$90,4,FALSE)</f>
        <v>149.03086772191051</v>
      </c>
      <c r="I268" s="6">
        <f>H268*F268</f>
        <v>149.03086772191051</v>
      </c>
    </row>
    <row r="269" spans="1:9" hidden="1" outlineLevel="2">
      <c r="A269" s="23"/>
      <c r="B269" s="2"/>
      <c r="C269" s="2"/>
      <c r="D269" s="2"/>
      <c r="E269" s="5" t="str">
        <f>VLOOKUP($D268,PRECIOS_REFERENCIAS!A$3:D$90,3,FALSE)</f>
        <v>INSTALACIÓN DE ANTENA EXTERIOR + KIT</v>
      </c>
      <c r="F269" s="3"/>
      <c r="G269" s="2"/>
      <c r="H269" s="40"/>
      <c r="I269" s="6"/>
    </row>
    <row r="270" spans="1:9" hidden="1" outlineLevel="2">
      <c r="A270" s="24" t="s">
        <v>221</v>
      </c>
      <c r="B270" s="2" t="s">
        <v>75</v>
      </c>
      <c r="C270" s="2" t="s">
        <v>16</v>
      </c>
      <c r="D270" s="2" t="s">
        <v>75</v>
      </c>
      <c r="E270" s="39" t="str">
        <f>VLOOKUP($D270,PRECIOS_REFERENCIAS!A$3:D$90,2,FALSE)</f>
        <v>SUMINISTRO SWITCH 5P</v>
      </c>
      <c r="F270" s="3">
        <v>1</v>
      </c>
      <c r="G270" s="2" t="s">
        <v>18</v>
      </c>
      <c r="H270" s="40">
        <f>VLOOKUP($D270,PRECIOS_REFERENCIAS!A$3:D$90,4,FALSE)</f>
        <v>97.65</v>
      </c>
      <c r="I270" s="6">
        <f>H270*F270</f>
        <v>97.65</v>
      </c>
    </row>
    <row r="271" spans="1:9" hidden="1" outlineLevel="2">
      <c r="A271" s="23"/>
      <c r="B271" s="2"/>
      <c r="C271" s="38"/>
      <c r="D271" s="2"/>
      <c r="E271" s="5" t="str">
        <f>VLOOKUP($D270,PRECIOS_REFERENCIAS!A$3:D$90,3,FALSE)</f>
        <v>SwitchNOGest_5x100TXRJ45 / MCSESU053FN0</v>
      </c>
      <c r="F271" s="7"/>
      <c r="G271" s="7"/>
      <c r="H271" s="40"/>
      <c r="I271" s="6"/>
    </row>
    <row r="272" spans="1:9" hidden="1" outlineLevel="2">
      <c r="A272" s="24" t="s">
        <v>222</v>
      </c>
      <c r="B272" s="2" t="s">
        <v>20</v>
      </c>
      <c r="C272" s="2" t="s">
        <v>21</v>
      </c>
      <c r="D272" s="2" t="s">
        <v>77</v>
      </c>
      <c r="E272" s="39" t="str">
        <f>VLOOKUP($D272,PRECIOS_REFERENCIAS!A$3:D$90,2,FALSE)</f>
        <v>INSTALACION SWITCH</v>
      </c>
      <c r="F272" s="3">
        <f>F270</f>
        <v>1</v>
      </c>
      <c r="G272" s="2" t="s">
        <v>18</v>
      </c>
      <c r="H272" s="40">
        <f>VLOOKUP($D272,PRECIOS_REFERENCIAS!A$3:D$90,4,FALSE)</f>
        <v>40</v>
      </c>
      <c r="I272" s="6">
        <f>H272*F272</f>
        <v>40</v>
      </c>
    </row>
    <row r="273" spans="1:10" hidden="1" outlineLevel="2">
      <c r="A273" s="23"/>
      <c r="B273" s="2"/>
      <c r="C273" s="2"/>
      <c r="D273" s="2"/>
      <c r="E273" s="5" t="str">
        <f>VLOOKUP($D272,PRECIOS_REFERENCIAS!A$3:D$90,3,FALSE)</f>
        <v>INSTALACIÓN DE SWITCH</v>
      </c>
      <c r="F273" s="3"/>
      <c r="G273" s="2"/>
      <c r="I273" s="6"/>
    </row>
    <row r="274" spans="1:10" hidden="1" outlineLevel="2">
      <c r="A274" s="24" t="s">
        <v>223</v>
      </c>
      <c r="B274" s="2" t="s">
        <v>79</v>
      </c>
      <c r="C274" s="2" t="s">
        <v>80</v>
      </c>
      <c r="D274" s="2" t="s">
        <v>81</v>
      </c>
      <c r="E274" s="39" t="str">
        <f>VLOOKUP($D274,PRECIOS_REFERENCIAS!A$3:D$90,2,FALSE)</f>
        <v>PLANIFICACION</v>
      </c>
      <c r="F274" s="3">
        <v>1</v>
      </c>
      <c r="G274" s="2" t="s">
        <v>18</v>
      </c>
      <c r="H274" s="40">
        <f>VLOOKUP($D274,PRECIOS_REFERENCIAS!A$3:D$90,4,FALSE)</f>
        <v>40</v>
      </c>
      <c r="I274" s="6">
        <f>H274*F274</f>
        <v>40</v>
      </c>
    </row>
    <row r="275" spans="1:10" hidden="1" outlineLevel="2">
      <c r="A275" s="23"/>
      <c r="B275" s="2"/>
      <c r="C275" s="2"/>
      <c r="D275" s="2"/>
      <c r="E275" s="5" t="str">
        <f>VLOOKUP($D274,PRECIOS_REFERENCIAS!A$3:D$90,3,FALSE)</f>
        <v>PLANIFICACIÓN DE LOS TRABAJOS Y DESCARGA EN LOCAL DEL PROGRAMA DEL PLC</v>
      </c>
      <c r="F275" s="3"/>
      <c r="G275" s="2"/>
      <c r="H275" s="40"/>
      <c r="I275" s="6"/>
    </row>
    <row r="276" spans="1:10" hidden="1" outlineLevel="2">
      <c r="A276" s="24" t="s">
        <v>224</v>
      </c>
      <c r="B276" s="2" t="s">
        <v>83</v>
      </c>
      <c r="C276" s="2" t="s">
        <v>80</v>
      </c>
      <c r="D276" s="2" t="s">
        <v>80</v>
      </c>
      <c r="E276" s="39" t="str">
        <f>VLOOKUP($D276,PRECIOS_REFERENCIAS!A$3:D$90,2,FALSE)</f>
        <v>INGENIERIA + ESQUEMAS</v>
      </c>
      <c r="F276" s="3">
        <v>1</v>
      </c>
      <c r="G276" s="2" t="s">
        <v>18</v>
      </c>
      <c r="H276" s="40">
        <f>VLOOKUP($D276,PRECIOS_REFERENCIAS!A$3:D$90,4,FALSE)</f>
        <v>300</v>
      </c>
      <c r="I276" s="6">
        <f>H276*F276</f>
        <v>300</v>
      </c>
    </row>
    <row r="277" spans="1:10" ht="22.5" hidden="1" outlineLevel="2">
      <c r="A277" s="23"/>
      <c r="B277" s="2"/>
      <c r="C277" s="2"/>
      <c r="D277" s="2"/>
      <c r="E277" s="5" t="str">
        <f>VLOOKUP($D276,PRECIOS_REFERENCIAS!A$3:D$90,3,FALSE)</f>
        <v>INGENIERÍA DE ACTUALIZACIÓN DE ESQUEMAS ELÉCTRICOS. INCLUYE LA REVISIÓN LOCAL DE LOS CUADROS Y ELEMENTOS DE CONTROL, ASÍ COMO LA COMPROBACIÓN DE LAS SEÑALES DE CONTROL.</v>
      </c>
      <c r="F277" s="3"/>
      <c r="G277" s="2"/>
      <c r="H277" s="40"/>
      <c r="I277" s="6"/>
    </row>
    <row r="278" spans="1:10" hidden="1" outlineLevel="2">
      <c r="A278" s="24" t="s">
        <v>225</v>
      </c>
      <c r="B278" s="2" t="s">
        <v>88</v>
      </c>
      <c r="C278" s="2" t="s">
        <v>80</v>
      </c>
      <c r="D278" s="2" t="s">
        <v>89</v>
      </c>
      <c r="E278" s="39" t="str">
        <f>VLOOKUP($D278,PRECIOS_REFERENCIAS!A$3:D$90,2,FALSE)</f>
        <v>PROGRAMA PLC NUEVO</v>
      </c>
      <c r="F278" s="3">
        <v>1</v>
      </c>
      <c r="G278" s="2" t="s">
        <v>18</v>
      </c>
      <c r="H278" s="40">
        <f>VLOOKUP($D278,PRECIOS_REFERENCIAS!A$3:D$90,4,FALSE)</f>
        <v>407.75660964439658</v>
      </c>
      <c r="I278" s="6">
        <f>H278*F278</f>
        <v>407.75660964439658</v>
      </c>
    </row>
    <row r="279" spans="1:10" hidden="1" outlineLevel="2">
      <c r="A279" s="23"/>
      <c r="B279" s="2"/>
      <c r="C279" s="2"/>
      <c r="D279" s="2"/>
      <c r="E279" s="5" t="str">
        <f>VLOOKUP($D278,PRECIOS_REFERENCIAS!A$3:D$90,3,FALSE)</f>
        <v>MIGRACION DEL PROGRAMA ACTUAL A LA NUEVA PLATAFORMA DE PROGRAMACION</v>
      </c>
      <c r="I279" s="6"/>
    </row>
    <row r="280" spans="1:10" hidden="1" outlineLevel="2">
      <c r="A280" s="24" t="s">
        <v>226</v>
      </c>
      <c r="B280" s="2" t="s">
        <v>227</v>
      </c>
      <c r="C280" s="2" t="s">
        <v>80</v>
      </c>
      <c r="D280" s="2" t="s">
        <v>228</v>
      </c>
      <c r="E280" s="39" t="str">
        <f>VLOOKUP($D280,PRECIOS_REFERENCIAS!A$3:D$90,2,FALSE)</f>
        <v>PRGRAMA MODBUS REMOTA 1200</v>
      </c>
      <c r="F280" s="3">
        <v>1</v>
      </c>
      <c r="G280" s="2" t="s">
        <v>18</v>
      </c>
      <c r="H280" s="40">
        <f>VLOOKUP($D280,PRECIOS_REFERENCIAS!A$3:D$90,4,FALSE)</f>
        <v>50</v>
      </c>
      <c r="I280" s="6">
        <f>H280*F280</f>
        <v>50</v>
      </c>
    </row>
    <row r="281" spans="1:10" hidden="1" outlineLevel="2">
      <c r="A281" s="23"/>
      <c r="B281" s="2"/>
      <c r="C281" s="2"/>
      <c r="D281" s="2"/>
      <c r="E281" s="5" t="str">
        <f>VLOOKUP($D280,PRECIOS_REFERENCIAS!A$3:D$90,3,FALSE)</f>
        <v>PROGRAMACION COMUNICACIÓN MODBUS CON OS CAUDALIMETROS</v>
      </c>
      <c r="I281" s="6"/>
    </row>
    <row r="282" spans="1:10" hidden="1" outlineLevel="2">
      <c r="A282" s="24" t="s">
        <v>229</v>
      </c>
      <c r="B282" s="2" t="s">
        <v>94</v>
      </c>
      <c r="C282" s="2" t="s">
        <v>80</v>
      </c>
      <c r="D282" s="2" t="s">
        <v>95</v>
      </c>
      <c r="E282" s="39" t="str">
        <f>VLOOKUP($D282,PRECIOS_REFERENCIAS!A$3:D$90,2,FALSE)</f>
        <v>PEM REMOTA</v>
      </c>
      <c r="F282" s="3">
        <v>1</v>
      </c>
      <c r="G282" s="2" t="s">
        <v>18</v>
      </c>
      <c r="H282" s="40">
        <f>VLOOKUP($D282,PRECIOS_REFERENCIAS!A$3:D$90,4,FALSE)</f>
        <v>851.7</v>
      </c>
      <c r="I282" s="6">
        <f>H282*F282</f>
        <v>851.7</v>
      </c>
    </row>
    <row r="283" spans="1:10" hidden="1" outlineLevel="2">
      <c r="A283" s="23"/>
      <c r="B283" s="2"/>
      <c r="C283" s="2"/>
      <c r="D283" s="2"/>
      <c r="E283" s="5" t="str">
        <f>VLOOKUP($D282,PRECIOS_REFERENCIAS!A$3:D$90,3,FALSE)</f>
        <v>PUESTA EN MARCHA DEL PROGRAMA DE CONTROL LOCAL</v>
      </c>
      <c r="F283" s="3"/>
      <c r="G283" s="2"/>
      <c r="H283" s="40"/>
      <c r="I283" s="6"/>
    </row>
    <row r="284" spans="1:10" hidden="1" outlineLevel="2">
      <c r="A284" s="24" t="s">
        <v>230</v>
      </c>
      <c r="B284" s="2" t="s">
        <v>97</v>
      </c>
      <c r="C284" s="2" t="s">
        <v>80</v>
      </c>
      <c r="D284" s="2" t="s">
        <v>98</v>
      </c>
      <c r="E284" s="39" t="str">
        <f>VLOOKUP($D284,PRECIOS_REFERENCIAS!A$3:D$90,2,FALSE)</f>
        <v>REVISION SCADA</v>
      </c>
      <c r="F284" s="3">
        <v>1</v>
      </c>
      <c r="G284" s="2" t="s">
        <v>18</v>
      </c>
      <c r="H284" s="40">
        <f>VLOOKUP($D284,PRECIOS_REFERENCIAS!A$3:D$90,4,FALSE)</f>
        <v>60</v>
      </c>
      <c r="I284" s="6">
        <f>H284*F284</f>
        <v>60</v>
      </c>
    </row>
    <row r="285" spans="1:10" hidden="1" outlineLevel="2">
      <c r="A285" s="23"/>
      <c r="B285" s="2"/>
      <c r="C285" s="2"/>
      <c r="D285" s="2"/>
      <c r="E285" s="5" t="str">
        <f>VLOOKUP($D284,PRECIOS_REFERENCIAS!A$3:D$90,3,FALSE)</f>
        <v>REVISIÓN DEL PROGRAMA DE SUPERVISIÓN SCADA</v>
      </c>
      <c r="I285" s="6"/>
    </row>
    <row r="286" spans="1:10" hidden="1" outlineLevel="2">
      <c r="A286" s="24" t="s">
        <v>231</v>
      </c>
      <c r="B286" s="2"/>
      <c r="C286" s="2" t="s">
        <v>16</v>
      </c>
      <c r="D286" s="2"/>
      <c r="E286" s="76" t="str">
        <f>CONCATENATE(E219," - TOTAL HARDWARE")</f>
        <v>DEP BRINKOLA - TOTAL HARDWARE</v>
      </c>
      <c r="F286" s="74"/>
      <c r="G286" s="74"/>
      <c r="H286" s="74"/>
      <c r="I286" s="75">
        <f>I220+I224+I228+I232+I250+I254+I258+I262+I266+I270+I236+I230+I240</f>
        <v>4001.0416896359006</v>
      </c>
    </row>
    <row r="287" spans="1:10" hidden="1" outlineLevel="2">
      <c r="A287" s="23"/>
      <c r="B287" s="2"/>
      <c r="C287" s="2" t="s">
        <v>21</v>
      </c>
      <c r="D287" s="2"/>
      <c r="E287" s="76" t="str">
        <f>CONCATENATE(E219," - TOTAL INSTALACION")</f>
        <v>DEP BRINKOLA - TOTAL INSTALACION</v>
      </c>
      <c r="F287" s="74"/>
      <c r="G287" s="74"/>
      <c r="H287" s="74"/>
      <c r="I287" s="75">
        <f>I222+I226+I234+I244+I246+I252+I256+I260+I264+I268+I272+I238+I248+I242</f>
        <v>1276.8936528332154</v>
      </c>
    </row>
    <row r="288" spans="1:10" hidden="1" outlineLevel="2">
      <c r="A288" s="23"/>
      <c r="B288" s="2"/>
      <c r="C288" s="2" t="s">
        <v>80</v>
      </c>
      <c r="D288" s="2"/>
      <c r="E288" s="76" t="str">
        <f>CONCATENATE(E219," - TOTAL INGENIERIA")</f>
        <v>DEP BRINKOLA - TOTAL INGENIERIA</v>
      </c>
      <c r="F288" s="74"/>
      <c r="G288" s="74"/>
      <c r="H288" s="74"/>
      <c r="I288" s="75">
        <f>I274+I276+I278+I282+I284+I280</f>
        <v>1709.4566096443966</v>
      </c>
      <c r="J288" s="22">
        <f>SUM(I286:I288)</f>
        <v>6987.3919521135131</v>
      </c>
    </row>
    <row r="289" spans="1:9" hidden="1" outlineLevel="2">
      <c r="A289" s="24"/>
      <c r="E289" s="41" t="str">
        <f>CONCATENATE("TOTAL ",A219)</f>
        <v>TOTAL  SUBCAPÍTULO 01.05</v>
      </c>
      <c r="F289" s="41"/>
      <c r="G289" s="41"/>
      <c r="H289" s="41"/>
      <c r="I289" s="42">
        <f>SUM(I220:I285)</f>
        <v>6987.3919521135131</v>
      </c>
    </row>
    <row r="290" spans="1:9" hidden="1" outlineLevel="1">
      <c r="A290" s="44" t="s">
        <v>232</v>
      </c>
      <c r="B290" s="44"/>
      <c r="C290" s="44"/>
      <c r="D290" s="44"/>
      <c r="E290" s="43" t="s">
        <v>233</v>
      </c>
      <c r="F290" s="44"/>
      <c r="G290" s="44" t="s">
        <v>11</v>
      </c>
      <c r="H290" s="45"/>
      <c r="I290" s="64">
        <f>I360</f>
        <v>10147.197898675271</v>
      </c>
    </row>
    <row r="291" spans="1:9" hidden="1" outlineLevel="2">
      <c r="A291" s="24" t="s">
        <v>234</v>
      </c>
      <c r="B291" s="2" t="s">
        <v>15</v>
      </c>
      <c r="C291" s="2" t="s">
        <v>16</v>
      </c>
      <c r="D291" s="2" t="s">
        <v>15</v>
      </c>
      <c r="E291" s="39" t="str">
        <f>VLOOKUP($D291,PRECIOS_REFERENCIAS!A$3:D$90,2,FALSE)</f>
        <v xml:space="preserve">CARRIL DIN </v>
      </c>
      <c r="F291" s="3">
        <v>1</v>
      </c>
      <c r="G291" s="2" t="s">
        <v>18</v>
      </c>
      <c r="H291" s="40">
        <f>VLOOKUP($D291,PRECIOS_REFERENCIAS!A$3:D$90,4,FALSE)</f>
        <v>2.6481182073295662</v>
      </c>
      <c r="I291" s="6">
        <f>H291*F291</f>
        <v>2.6481182073295662</v>
      </c>
    </row>
    <row r="292" spans="1:9" hidden="1" outlineLevel="2">
      <c r="A292" s="23"/>
      <c r="B292" s="2"/>
      <c r="C292" s="2"/>
      <c r="D292" s="2"/>
      <c r="E292" s="5" t="str">
        <f>VLOOKUP($D291,PRECIOS_REFERENCIAS!A$3:D$90,3,FALSE)</f>
        <v>CARRIL DIN PARA REMOTA S7-1200</v>
      </c>
      <c r="F292" s="3"/>
      <c r="G292" s="2"/>
      <c r="H292" s="40"/>
      <c r="I292" s="6"/>
    </row>
    <row r="293" spans="1:9" hidden="1" outlineLevel="2">
      <c r="A293" s="24" t="s">
        <v>235</v>
      </c>
      <c r="B293" s="2" t="s">
        <v>20</v>
      </c>
      <c r="C293" s="2" t="s">
        <v>21</v>
      </c>
      <c r="D293" s="2" t="s">
        <v>22</v>
      </c>
      <c r="E293" s="39" t="str">
        <f>VLOOKUP($D293,PRECIOS_REFERENCIAS!A$3:D$90,2,FALSE)</f>
        <v xml:space="preserve">INSTALACION CARRIL DIN </v>
      </c>
      <c r="F293" s="3">
        <v>1</v>
      </c>
      <c r="G293" s="2" t="s">
        <v>18</v>
      </c>
      <c r="H293" s="40">
        <f>VLOOKUP($D293,PRECIOS_REFERENCIAS!A$3:D$90,4,FALSE)</f>
        <v>35.402252939916011</v>
      </c>
      <c r="I293" s="6">
        <f>H293*F293</f>
        <v>35.402252939916011</v>
      </c>
    </row>
    <row r="294" spans="1:9" hidden="1" outlineLevel="2">
      <c r="A294" s="23"/>
      <c r="B294" s="2"/>
      <c r="C294" s="2"/>
      <c r="D294" s="2"/>
      <c r="E294" s="5" t="str">
        <f>VLOOKUP($D293,PRECIOS_REFERENCIAS!A$3:D$90,3,FALSE)</f>
        <v>SUSTITUCIÓN DE PERFIL SOPORTE DE PLC EXISTENTE POR NUEVO PERFIL DE PLC DEFINIDO, DENTRO DEL ARMARIO ELÉCTRICO ACTUAL.</v>
      </c>
      <c r="F294" s="3"/>
      <c r="G294" s="2"/>
      <c r="H294" s="40"/>
      <c r="I294" s="6"/>
    </row>
    <row r="295" spans="1:9" hidden="1" outlineLevel="2">
      <c r="A295" s="24" t="s">
        <v>236</v>
      </c>
      <c r="B295" s="2" t="s">
        <v>104</v>
      </c>
      <c r="C295" s="2" t="s">
        <v>16</v>
      </c>
      <c r="D295" s="2" t="s">
        <v>104</v>
      </c>
      <c r="E295" s="39" t="str">
        <f>VLOOKUP($D295,PRECIOS_REFERENCIAS!A$3:D$48,2,FALSE)</f>
        <v>SUMINISTRO DE CPU REMOTAS</v>
      </c>
      <c r="F295" s="3">
        <v>1</v>
      </c>
      <c r="G295" s="2" t="s">
        <v>18</v>
      </c>
      <c r="H295" s="40">
        <f>VLOOKUP($D295,PRECIOS_REFERENCIAS!A$3:D$48,4,FALSE)</f>
        <v>416.28749999999997</v>
      </c>
      <c r="I295" s="6">
        <f>H295*F295</f>
        <v>416.28749999999997</v>
      </c>
    </row>
    <row r="296" spans="1:9" hidden="1" outlineLevel="2">
      <c r="A296" s="23"/>
      <c r="B296" s="38"/>
      <c r="C296" s="38"/>
      <c r="D296" s="38"/>
      <c r="E296" s="5" t="str">
        <f>VLOOKUP($D295,PRECIOS_REFERENCIAS!A$3:D$48,3,FALSE)</f>
        <v>SIMATIC S7-1200 - CPU 1214C //6ES7214-1AG40-0XB0</v>
      </c>
      <c r="F296" s="7"/>
      <c r="G296" s="7"/>
      <c r="I296" s="6"/>
    </row>
    <row r="297" spans="1:9" hidden="1" outlineLevel="2">
      <c r="A297" s="24" t="s">
        <v>237</v>
      </c>
      <c r="B297" s="2" t="s">
        <v>20</v>
      </c>
      <c r="C297" s="2" t="s">
        <v>21</v>
      </c>
      <c r="D297" s="2" t="s">
        <v>28</v>
      </c>
      <c r="E297" s="39" t="str">
        <f>VLOOKUP($D297,PRECIOS_REFERENCIAS!A$3:D$90,2,FALSE)</f>
        <v>INSTALACION CPU</v>
      </c>
      <c r="F297" s="3">
        <v>1</v>
      </c>
      <c r="G297" s="2" t="s">
        <v>18</v>
      </c>
      <c r="H297" s="40">
        <f>VLOOKUP($D297,PRECIOS_REFERENCIAS!A$3:D$90,4,FALSE)</f>
        <v>123.90076030798227</v>
      </c>
      <c r="I297" s="6">
        <f>H297*F297</f>
        <v>123.90076030798227</v>
      </c>
    </row>
    <row r="298" spans="1:9" hidden="1" outlineLevel="2">
      <c r="A298" s="23"/>
      <c r="B298" s="2"/>
      <c r="C298" s="2"/>
      <c r="D298" s="2"/>
      <c r="E298" s="5" t="str">
        <f>VLOOKUP($D297,PRECIOS_REFERENCIAS!A$3:D$90,3,FALSE)</f>
        <v>SUSTITUCIÓN DE CPU DE PLC EXISTENTE POR NUEVA CPU DE PLC DEFINIDA</v>
      </c>
      <c r="F298" s="3"/>
      <c r="G298" s="2"/>
      <c r="H298" s="40"/>
      <c r="I298" s="6"/>
    </row>
    <row r="299" spans="1:9" hidden="1" outlineLevel="2">
      <c r="A299" s="24" t="s">
        <v>238</v>
      </c>
      <c r="B299" s="2" t="s">
        <v>153</v>
      </c>
      <c r="C299" s="2" t="s">
        <v>16</v>
      </c>
      <c r="D299" s="2" t="s">
        <v>153</v>
      </c>
      <c r="E299" s="39" t="str">
        <f>VLOOKUP($D299,PRECIOS_REFERENCIAS!A$3:D$48,2,FALSE)</f>
        <v>SUMINISTRO DE FUENTE ALIMENTACIÓN CPU REMOTAS</v>
      </c>
      <c r="F299" s="3">
        <v>1</v>
      </c>
      <c r="G299" s="2" t="s">
        <v>18</v>
      </c>
      <c r="H299" s="40">
        <f>VLOOKUP($D299,PRECIOS_REFERENCIAS!A$3:D$48,4,FALSE)</f>
        <v>180.01500000000001</v>
      </c>
      <c r="I299" s="6">
        <f>H299*F299</f>
        <v>180.01500000000001</v>
      </c>
    </row>
    <row r="300" spans="1:9" hidden="1" outlineLevel="2">
      <c r="A300" s="23"/>
      <c r="B300" s="7"/>
      <c r="C300" s="7"/>
      <c r="D300" s="7"/>
      <c r="E300" s="5" t="str">
        <f>VLOOKUP($D299,PRECIOS_REFERENCIAS!A$3:D$48,3,FALSE)</f>
        <v>SITOP PSU6200 24 V/10 A // 6EP3334-7SB00-3AX0    </v>
      </c>
      <c r="F300" s="7"/>
      <c r="G300" s="7"/>
      <c r="I300" s="6"/>
    </row>
    <row r="301" spans="1:9" hidden="1" outlineLevel="2">
      <c r="A301" s="24" t="s">
        <v>239</v>
      </c>
      <c r="B301" s="2" t="s">
        <v>155</v>
      </c>
      <c r="C301" s="2" t="s">
        <v>16</v>
      </c>
      <c r="D301" s="2" t="s">
        <v>156</v>
      </c>
      <c r="E301" s="39" t="str">
        <f>VLOOKUP($D301,PRECIOS_REFERENCIAS!A$3:D$98,2,FALSE)</f>
        <v>TARJETA DE MEMORIA S7-1200</v>
      </c>
      <c r="F301" s="3">
        <v>1</v>
      </c>
      <c r="G301" s="2" t="s">
        <v>18</v>
      </c>
      <c r="H301" s="40">
        <f>VLOOKUP($D301,PRECIOS_REFERENCIAS!A$3:D$100,4,FALSE)</f>
        <v>263.13750000000005</v>
      </c>
      <c r="I301" s="6">
        <f>H301*F301</f>
        <v>263.13750000000005</v>
      </c>
    </row>
    <row r="302" spans="1:9" hidden="1" outlineLevel="2">
      <c r="A302" s="23"/>
      <c r="B302" s="7"/>
      <c r="C302" s="7"/>
      <c r="D302" s="7"/>
      <c r="E302" s="5" t="str">
        <f>VLOOKUP($D301,PRECIOS_REFERENCIAS!A$3:D$98,3,FALSE)</f>
        <v>SIMATIC S7 Memory Card, 24 MB //6ES7954-8LF03-0AA0</v>
      </c>
      <c r="F302" s="7"/>
      <c r="G302" s="7"/>
      <c r="I302" s="6"/>
    </row>
    <row r="303" spans="1:9" hidden="1" outlineLevel="2">
      <c r="A303" s="24" t="s">
        <v>240</v>
      </c>
      <c r="B303" s="2" t="s">
        <v>158</v>
      </c>
      <c r="C303" s="2" t="s">
        <v>16</v>
      </c>
      <c r="D303" s="2" t="s">
        <v>159</v>
      </c>
      <c r="E303" s="39" t="str">
        <f>VLOOKUP($D303,PRECIOS_REFERENCIAS!A$3:D$90,2,FALSE)</f>
        <v>TARJETA COMUNICACIONES  S7-1200</v>
      </c>
      <c r="F303" s="3">
        <v>1</v>
      </c>
      <c r="G303" s="2" t="s">
        <v>18</v>
      </c>
      <c r="H303" s="40">
        <f>VLOOKUP($D303,PRECIOS_REFERENCIAS!A$3:D$90,4,FALSE)</f>
        <v>518.66999999999996</v>
      </c>
      <c r="I303" s="6">
        <f>H303*F303</f>
        <v>518.66999999999996</v>
      </c>
    </row>
    <row r="304" spans="1:9" hidden="1" outlineLevel="2">
      <c r="A304" s="23"/>
      <c r="B304" s="2"/>
      <c r="C304" s="38"/>
      <c r="D304" s="2"/>
      <c r="E304" s="5" t="str">
        <f>VLOOKUP($D303,PRECIOS_REFERENCIAS!A$3:D$90,3,FALSE)</f>
        <v>SIMATIC S7-1200  Modulo Ethernet CP 1243-1  //6GK7243-1BX30-0XE0</v>
      </c>
      <c r="F304" s="3"/>
      <c r="G304" s="2"/>
      <c r="H304" s="40"/>
      <c r="I304" s="6"/>
    </row>
    <row r="305" spans="1:9" hidden="1" outlineLevel="2">
      <c r="A305" s="24" t="s">
        <v>241</v>
      </c>
      <c r="B305" s="2" t="s">
        <v>20</v>
      </c>
      <c r="C305" s="2" t="s">
        <v>21</v>
      </c>
      <c r="D305" s="2" t="s">
        <v>161</v>
      </c>
      <c r="E305" s="39" t="str">
        <f>VLOOKUP($D305,PRECIOS_REFERENCIAS!A$3:D$90,2,FALSE)</f>
        <v>INSTALACION COM ADICIONAL</v>
      </c>
      <c r="F305" s="3">
        <v>1</v>
      </c>
      <c r="G305" s="2" t="s">
        <v>18</v>
      </c>
      <c r="H305" s="40">
        <f>VLOOKUP($D305,PRECIOS_REFERENCIAS!A$3:D$90,4,FALSE)</f>
        <v>40</v>
      </c>
      <c r="I305" s="6">
        <f>H305*F305</f>
        <v>40</v>
      </c>
    </row>
    <row r="306" spans="1:9" hidden="1" outlineLevel="2">
      <c r="A306" s="23"/>
      <c r="B306" s="7"/>
      <c r="C306" s="7"/>
      <c r="D306" s="7"/>
      <c r="E306" s="5" t="str">
        <f>VLOOKUP($D305,PRECIOS_REFERENCIAS!A$3:D$90,3,FALSE)</f>
        <v xml:space="preserve">INSTALACION TARJETA COMUNICACIONES ADICIONAL </v>
      </c>
      <c r="F306" s="7"/>
      <c r="G306" s="7"/>
      <c r="I306" s="6"/>
    </row>
    <row r="307" spans="1:9" hidden="1" outlineLevel="2">
      <c r="A307" s="24" t="s">
        <v>242</v>
      </c>
      <c r="B307" s="2" t="s">
        <v>196</v>
      </c>
      <c r="C307" s="2" t="s">
        <v>16</v>
      </c>
      <c r="D307" s="2" t="s">
        <v>197</v>
      </c>
      <c r="E307" s="39" t="str">
        <f>VLOOKUP($D307,PRECIOS_REFERENCIAS!A$3:D$48,2,FALSE)</f>
        <v>TARJETA COMUNICACIÓN RS485 S7-1200</v>
      </c>
      <c r="F307" s="3">
        <v>1</v>
      </c>
      <c r="G307" s="2" t="s">
        <v>18</v>
      </c>
      <c r="H307" s="40">
        <f>VLOOKUP($D307,PRECIOS_REFERENCIAS!A$3:D$48,4,FALSE)</f>
        <v>130.19999999999999</v>
      </c>
      <c r="I307" s="6">
        <f>H307*F307</f>
        <v>130.19999999999999</v>
      </c>
    </row>
    <row r="308" spans="1:9" hidden="1" outlineLevel="2">
      <c r="A308" s="23"/>
      <c r="B308" s="7"/>
      <c r="C308" s="38"/>
      <c r="D308" s="7"/>
      <c r="E308" s="5" t="str">
        <f>VLOOKUP($D307,PRECIOS_REFERENCIAS!A$3:D$48,3,FALSE)</f>
        <v>Modul de comunic. CM 1241, RS422/485  //6ES7241-1CH32-0XB0</v>
      </c>
      <c r="F308" s="7"/>
      <c r="G308" s="7"/>
      <c r="I308" s="6"/>
    </row>
    <row r="309" spans="1:9" hidden="1" outlineLevel="2">
      <c r="A309" s="24" t="s">
        <v>243</v>
      </c>
      <c r="B309" s="2" t="s">
        <v>20</v>
      </c>
      <c r="C309" s="2" t="s">
        <v>21</v>
      </c>
      <c r="D309" s="2" t="s">
        <v>199</v>
      </c>
      <c r="E309" s="39" t="str">
        <f>VLOOKUP($D309,PRECIOS_REFERENCIAS!A$3:D$90,2,FALSE)</f>
        <v>INSTALACION CABLEADO MODBUS CAUDALIMETRO</v>
      </c>
      <c r="F309" s="3">
        <v>7</v>
      </c>
      <c r="G309" s="2" t="s">
        <v>18</v>
      </c>
      <c r="H309" s="40">
        <f>VLOOKUP($D309,PRECIOS_REFERENCIAS!A$3:D$90,4,FALSE)</f>
        <v>40</v>
      </c>
      <c r="I309" s="6">
        <f>H309*F309</f>
        <v>280</v>
      </c>
    </row>
    <row r="310" spans="1:9" hidden="1" outlineLevel="2">
      <c r="A310" s="23"/>
      <c r="B310" s="2"/>
      <c r="C310" s="2"/>
      <c r="D310" s="2"/>
      <c r="E310" s="5" t="str">
        <f>VLOOKUP($D309,PRECIOS_REFERENCIAS!A$3:D$90,3,FALSE)</f>
        <v>INSTALACIÓN DEL CABLEADO MODUS PARA CADA CAUDALIMETRO CON COMUNICACIÓN MODBUS</v>
      </c>
      <c r="F310" s="3"/>
      <c r="G310" s="2"/>
      <c r="H310" s="40"/>
      <c r="I310" s="6"/>
    </row>
    <row r="311" spans="1:9" hidden="1" outlineLevel="2">
      <c r="A311" s="24" t="s">
        <v>244</v>
      </c>
      <c r="B311" s="2" t="s">
        <v>201</v>
      </c>
      <c r="C311" s="2" t="s">
        <v>16</v>
      </c>
      <c r="D311" s="2" t="s">
        <v>202</v>
      </c>
      <c r="E311" s="39" t="str">
        <f>VLOOKUP($D311,PRECIOS_REFERENCIAS!A$3:D$48,2,FALSE)</f>
        <v>TARJETA COMUNICACIÓN MODBUS CAUDALIMETRO</v>
      </c>
      <c r="F311" s="3">
        <f>F309</f>
        <v>7</v>
      </c>
      <c r="G311" s="2" t="s">
        <v>18</v>
      </c>
      <c r="H311" s="40">
        <f>VLOOKUP($D311,PRECIOS_REFERENCIAS!A$3:D$48,4,FALSE)</f>
        <v>183.48750000000001</v>
      </c>
      <c r="I311" s="6">
        <f>H311*F311</f>
        <v>1284.4125000000001</v>
      </c>
    </row>
    <row r="312" spans="1:9" hidden="1" outlineLevel="2">
      <c r="A312" s="23"/>
      <c r="B312" s="7"/>
      <c r="C312" s="38"/>
      <c r="D312" s="7"/>
      <c r="E312" s="5" t="str">
        <f>VLOOKUP($D311,PRECIOS_REFERENCIAS!A$3:D$48,3,FALSE)</f>
        <v>TARJETA MODBUS RTU/RS485 para caudalímetro MAG 6000 // FDK:085U0234</v>
      </c>
      <c r="F312" s="7"/>
      <c r="G312" s="7"/>
      <c r="I312" s="6"/>
    </row>
    <row r="313" spans="1:9" hidden="1" outlineLevel="2">
      <c r="A313" s="24" t="s">
        <v>245</v>
      </c>
      <c r="B313" s="2" t="s">
        <v>20</v>
      </c>
      <c r="C313" s="2" t="s">
        <v>21</v>
      </c>
      <c r="D313" s="2" t="s">
        <v>204</v>
      </c>
      <c r="E313" s="39" t="str">
        <f>VLOOKUP($D313,PRECIOS_REFERENCIAS!A$3:D$90,2,FALSE)</f>
        <v>INSTALACION TARJETA MODBUS CAUDALIMETRO</v>
      </c>
      <c r="F313" s="3">
        <f>F311</f>
        <v>7</v>
      </c>
      <c r="G313" s="2" t="s">
        <v>18</v>
      </c>
      <c r="H313" s="40">
        <f>VLOOKUP($D313,PRECIOS_REFERENCIAS!A$3:D$90,4,FALSE)</f>
        <v>40</v>
      </c>
      <c r="I313" s="6">
        <f>H313*F313</f>
        <v>280</v>
      </c>
    </row>
    <row r="314" spans="1:9" hidden="1" outlineLevel="2">
      <c r="A314" s="23"/>
      <c r="B314" s="2"/>
      <c r="C314" s="2"/>
      <c r="D314" s="2"/>
      <c r="E314" s="5" t="str">
        <f>VLOOKUP($D313,PRECIOS_REFERENCIAS!A$3:D$90,3,FALSE)</f>
        <v>INSTALACIÓN DE LA TARJETA DE MODBUS EN EL CAUDALIMETRO</v>
      </c>
      <c r="F314" s="3"/>
      <c r="G314" s="2"/>
      <c r="H314" s="40"/>
      <c r="I314" s="6"/>
    </row>
    <row r="315" spans="1:9" hidden="1" outlineLevel="2">
      <c r="A315" s="24" t="s">
        <v>246</v>
      </c>
      <c r="B315" s="2" t="s">
        <v>108</v>
      </c>
      <c r="C315" s="2" t="s">
        <v>16</v>
      </c>
      <c r="D315" s="2" t="s">
        <v>108</v>
      </c>
      <c r="E315" s="39" t="str">
        <f>VLOOKUP($D315,PRECIOS_REFERENCIAS!A$3:D$48,2,FALSE)</f>
        <v>SUMINISTRO MÓDULO DE 16 ENTRADAS DIGITALES</v>
      </c>
      <c r="F315" s="3">
        <v>2</v>
      </c>
      <c r="G315" s="2" t="s">
        <v>18</v>
      </c>
      <c r="H315" s="40">
        <f>VLOOKUP($D315,PRECIOS_REFERENCIAS!A$3:D$48,4,FALSE)</f>
        <v>177.54749999999999</v>
      </c>
      <c r="I315" s="6">
        <f>H315*F315</f>
        <v>355.09499999999997</v>
      </c>
    </row>
    <row r="316" spans="1:9" hidden="1" outlineLevel="2">
      <c r="A316" s="23"/>
      <c r="B316" s="7"/>
      <c r="C316" s="38"/>
      <c r="D316" s="7"/>
      <c r="E316" s="5" t="str">
        <f>VLOOKUP($D315,PRECIOS_REFERENCIAS!A$3:D$48,3,FALSE)</f>
        <v xml:space="preserve">SIMATIC S7-1200,  Módulo SM1221 //6ES7221-1BH32-0XB0 </v>
      </c>
      <c r="F316" s="7"/>
      <c r="G316" s="7"/>
      <c r="I316" s="6"/>
    </row>
    <row r="317" spans="1:9" hidden="1" outlineLevel="2">
      <c r="A317" s="24" t="s">
        <v>247</v>
      </c>
      <c r="B317" s="2" t="s">
        <v>20</v>
      </c>
      <c r="C317" s="2" t="s">
        <v>21</v>
      </c>
      <c r="D317" s="2" t="s">
        <v>35</v>
      </c>
      <c r="E317" s="39" t="str">
        <f>VLOOKUP($D317,PRECIOS_REFERENCIAS!A$3:D$90,2,FALSE)</f>
        <v>INSTALACION ED</v>
      </c>
      <c r="F317" s="3">
        <f>F315+1</f>
        <v>3</v>
      </c>
      <c r="G317" s="2" t="s">
        <v>18</v>
      </c>
      <c r="H317" s="40">
        <f>VLOOKUP($D317,PRECIOS_REFERENCIAS!A$3:D$90,4,FALSE)</f>
        <v>161.97310014887609</v>
      </c>
      <c r="I317" s="6">
        <f>H317*F317</f>
        <v>485.91930044662826</v>
      </c>
    </row>
    <row r="318" spans="1:9" hidden="1" outlineLevel="2">
      <c r="A318" s="23"/>
      <c r="B318" s="2"/>
      <c r="C318" s="7"/>
      <c r="D318" s="2"/>
      <c r="E318" s="5" t="str">
        <f>VLOOKUP($D317,PRECIOS_REFERENCIAS!A$3:D$90,3,FALSE)</f>
        <v>SUSTITUCIÓN DE MÓDULO DE E/S DIGITALES DE PLC EXISTENTE POR NUEVO MÓDULO DE PLC DEFINIDO. ENTRADA DIGITAL 16</v>
      </c>
      <c r="F318" s="3"/>
      <c r="G318" s="2"/>
      <c r="H318" s="40"/>
      <c r="I318" s="6"/>
    </row>
    <row r="319" spans="1:9" hidden="1" outlineLevel="2">
      <c r="A319" s="24" t="s">
        <v>248</v>
      </c>
      <c r="B319" s="2" t="s">
        <v>165</v>
      </c>
      <c r="C319" s="2" t="s">
        <v>16</v>
      </c>
      <c r="D319" s="2" t="s">
        <v>165</v>
      </c>
      <c r="E319" s="39" t="str">
        <f>VLOOKUP($D319,PRECIOS_REFERENCIAS!A$3:D$48,2,FALSE)</f>
        <v>SUMINISTRO MÓDULO DE 16 SALIDAS DIGITALES</v>
      </c>
      <c r="F319" s="3">
        <v>2</v>
      </c>
      <c r="G319" s="2" t="s">
        <v>18</v>
      </c>
      <c r="H319" s="40">
        <f>VLOOKUP($D319,PRECIOS_REFERENCIAS!A$3:D$48,4,FALSE)</f>
        <v>177.54749999999999</v>
      </c>
      <c r="I319" s="6">
        <f>H319*F319</f>
        <v>355.09499999999997</v>
      </c>
    </row>
    <row r="320" spans="1:9" hidden="1" outlineLevel="2">
      <c r="A320" s="23"/>
      <c r="B320" s="7"/>
      <c r="C320" s="7"/>
      <c r="D320" s="7"/>
      <c r="E320" s="5" t="str">
        <f>VLOOKUP($D319,PRECIOS_REFERENCIAS!A$3:D$48,3,FALSE)</f>
        <v xml:space="preserve">SIMATIC S7-1200,  Módulo SM1222 //6ES7222-1BH32-0XB0 </v>
      </c>
      <c r="F320" s="7"/>
      <c r="G320" s="7"/>
      <c r="I320" s="6"/>
    </row>
    <row r="321" spans="1:9" hidden="1" outlineLevel="2">
      <c r="A321" s="24" t="s">
        <v>249</v>
      </c>
      <c r="B321" s="2" t="s">
        <v>20</v>
      </c>
      <c r="C321" s="2" t="s">
        <v>21</v>
      </c>
      <c r="D321" s="2" t="s">
        <v>41</v>
      </c>
      <c r="E321" s="39" t="str">
        <f>VLOOKUP($D321,PRECIOS_REFERENCIAS!A$3:D$90,2,FALSE)</f>
        <v>INSTALACION SD</v>
      </c>
      <c r="F321" s="3">
        <f>F319+1</f>
        <v>3</v>
      </c>
      <c r="G321" s="2" t="s">
        <v>18</v>
      </c>
      <c r="H321" s="40">
        <f>VLOOKUP($D321,PRECIOS_REFERENCIAS!A$3:D$90,4,FALSE)</f>
        <v>162.83522293745065</v>
      </c>
      <c r="I321" s="6">
        <f>H321*F321</f>
        <v>488.50566881235193</v>
      </c>
    </row>
    <row r="322" spans="1:9" hidden="1" outlineLevel="2">
      <c r="A322" s="23"/>
      <c r="B322" s="2"/>
      <c r="C322" s="7"/>
      <c r="D322" s="2"/>
      <c r="E322" s="5" t="str">
        <f>VLOOKUP($D321,PRECIOS_REFERENCIAS!A$3:D$90,3,FALSE)</f>
        <v>SUSTITUCIÓN DE MÓDULO DE E/S DIGITALES DE PLC EXISTENTE POR NUEVO MÓDULO DE PLC DEFINIDO. SALIDA DIGITAL 16</v>
      </c>
      <c r="F322" s="3"/>
      <c r="G322" s="2"/>
      <c r="H322" s="40"/>
      <c r="I322" s="6"/>
    </row>
    <row r="323" spans="1:9" hidden="1" outlineLevel="2">
      <c r="A323" s="24" t="s">
        <v>250</v>
      </c>
      <c r="B323" s="2" t="s">
        <v>114</v>
      </c>
      <c r="C323" s="2" t="s">
        <v>16</v>
      </c>
      <c r="D323" s="2" t="s">
        <v>114</v>
      </c>
      <c r="E323" s="39" t="str">
        <f>VLOOKUP($D323,PRECIOS_REFERENCIAS!A$3:D$48,2,FALSE)</f>
        <v>SUMINISTRO MÓDULO DE 8 ENTRADAS ANALÓGICAS</v>
      </c>
      <c r="F323" s="3">
        <v>1</v>
      </c>
      <c r="G323" s="2" t="s">
        <v>18</v>
      </c>
      <c r="H323" s="40">
        <f>VLOOKUP($D323,PRECIOS_REFERENCIAS!A$3:D$48,4,FALSE)</f>
        <v>372.39749999999998</v>
      </c>
      <c r="I323" s="6">
        <f>H323*F323</f>
        <v>372.39749999999998</v>
      </c>
    </row>
    <row r="324" spans="1:9" hidden="1" outlineLevel="2">
      <c r="A324" s="23"/>
      <c r="B324" s="7"/>
      <c r="C324" s="7"/>
      <c r="D324" s="7"/>
      <c r="E324" s="5" t="str">
        <f>VLOOKUP($D323,PRECIOS_REFERENCIAS!A$3:D$48,3,FALSE)</f>
        <v xml:space="preserve">SIMATIC S7-1200,  Módulo de Entradas analógicas, SM 1231, 8 EA //6ES7231-4HF32-0XB0 </v>
      </c>
      <c r="F324" s="7"/>
      <c r="G324" s="7"/>
      <c r="I324" s="6"/>
    </row>
    <row r="325" spans="1:9" hidden="1" outlineLevel="2">
      <c r="A325" s="24" t="s">
        <v>251</v>
      </c>
      <c r="B325" s="2" t="s">
        <v>20</v>
      </c>
      <c r="C325" s="2" t="s">
        <v>21</v>
      </c>
      <c r="D325" s="2" t="s">
        <v>46</v>
      </c>
      <c r="E325" s="39" t="str">
        <f>VLOOKUP($D325,PRECIOS_REFERENCIAS!A$3:D$90,2,FALSE)</f>
        <v>INSTALACION EA</v>
      </c>
      <c r="F325" s="3">
        <f>F323+1</f>
        <v>2</v>
      </c>
      <c r="G325" s="2" t="s">
        <v>18</v>
      </c>
      <c r="H325" s="40">
        <f>VLOOKUP($D325,PRECIOS_REFERENCIAS!A$3:D$90,4,FALSE)</f>
        <v>237.18351660213608</v>
      </c>
      <c r="I325" s="6">
        <f>H325*F325</f>
        <v>474.36703320427216</v>
      </c>
    </row>
    <row r="326" spans="1:9" hidden="1" outlineLevel="2">
      <c r="A326" s="23"/>
      <c r="B326" s="2"/>
      <c r="C326" s="7"/>
      <c r="D326" s="2"/>
      <c r="E326" s="5" t="str">
        <f>VLOOKUP($D325,PRECIOS_REFERENCIAS!A$3:D$90,3,FALSE)</f>
        <v>SUSTITUCIÓN DE MÓDULO DE E/S ANALÓGICAS DE PLC EXISTENTE POR NUEVO MÓDULO DE PLC DEFINIDO. ENTRADA ANALÓGICAS 8</v>
      </c>
      <c r="F326" s="3"/>
      <c r="G326" s="2"/>
      <c r="H326" s="40"/>
      <c r="I326" s="6"/>
    </row>
    <row r="327" spans="1:9" hidden="1" outlineLevel="2">
      <c r="A327" s="24" t="s">
        <v>252</v>
      </c>
      <c r="B327" s="2" t="s">
        <v>20</v>
      </c>
      <c r="C327" s="2" t="s">
        <v>21</v>
      </c>
      <c r="D327" s="2" t="s">
        <v>208</v>
      </c>
      <c r="E327" s="39" t="str">
        <f>VLOOKUP($D327,PRECIOS_REFERENCIAS!A$3:D$90,2,FALSE)</f>
        <v>RETIRADA CABLE CAUDAL SEÑAL ANALOGICA</v>
      </c>
      <c r="F327" s="3">
        <v>7</v>
      </c>
      <c r="G327" s="2" t="s">
        <v>18</v>
      </c>
      <c r="H327" s="40">
        <f>VLOOKUP($D327,PRECIOS_REFERENCIAS!A$3:D$90,4,FALSE)</f>
        <v>30</v>
      </c>
      <c r="I327" s="6">
        <f>H327*F327</f>
        <v>210</v>
      </c>
    </row>
    <row r="328" spans="1:9" hidden="1" outlineLevel="2">
      <c r="A328" s="23"/>
      <c r="B328" s="2"/>
      <c r="C328" s="2"/>
      <c r="D328" s="2"/>
      <c r="E328" s="5" t="str">
        <f>VLOOKUP($D327,PRECIOS_REFERENCIAS!A$3:D$90,3,FALSE)</f>
        <v>RETIRADA DEL CABLE ANALOGICO DEL CAUDALIMETRO POR LA COMUNICACIÓN ACTUAL MODBUS</v>
      </c>
      <c r="F328" s="3"/>
      <c r="G328" s="2"/>
      <c r="H328" s="40"/>
      <c r="I328" s="6"/>
    </row>
    <row r="329" spans="1:9" hidden="1" outlineLevel="2">
      <c r="A329" s="24" t="s">
        <v>253</v>
      </c>
      <c r="B329" s="2" t="s">
        <v>170</v>
      </c>
      <c r="C329" s="2" t="s">
        <v>16</v>
      </c>
      <c r="D329" s="2" t="s">
        <v>170</v>
      </c>
      <c r="E329" s="39" t="str">
        <f>VLOOKUP($D329,PRECIOS_REFERENCIAS!A$3:D$48,2,FALSE)</f>
        <v>SUMINISTRO MÓDULO DE 2 SALIDAS ANALÓGICAS</v>
      </c>
      <c r="F329" s="3">
        <v>1</v>
      </c>
      <c r="G329" s="2" t="s">
        <v>18</v>
      </c>
      <c r="H329" s="40">
        <f>VLOOKUP($D329,PRECIOS_REFERENCIAS!A$3:D$48,4,FALSE)</f>
        <v>243.10499999999999</v>
      </c>
      <c r="I329" s="6">
        <f>H329*F329</f>
        <v>243.10499999999999</v>
      </c>
    </row>
    <row r="330" spans="1:9" hidden="1" outlineLevel="2">
      <c r="A330" s="23"/>
      <c r="B330" s="7"/>
      <c r="C330" s="7"/>
      <c r="D330" s="7"/>
      <c r="E330" s="5" t="str">
        <f>VLOOKUP($D329,PRECIOS_REFERENCIAS!A$3:D$48,3,FALSE)</f>
        <v xml:space="preserve">SIMATIC S7-1200,  Módulo de Salidas analógicas, SM 1232, 2 AO //6ES7232-4HB32-0XB0 </v>
      </c>
      <c r="F330" s="7"/>
      <c r="G330" s="7"/>
      <c r="I330" s="6"/>
    </row>
    <row r="331" spans="1:9" hidden="1" outlineLevel="2">
      <c r="A331" s="24" t="s">
        <v>254</v>
      </c>
      <c r="B331" s="2" t="s">
        <v>20</v>
      </c>
      <c r="C331" s="2" t="s">
        <v>21</v>
      </c>
      <c r="D331" s="2" t="s">
        <v>51</v>
      </c>
      <c r="E331" s="39" t="str">
        <f>VLOOKUP($D331,PRECIOS_REFERENCIAS!A$3:D$90,2,FALSE)</f>
        <v>INSTALACION SA</v>
      </c>
      <c r="F331" s="3">
        <f>F329</f>
        <v>1</v>
      </c>
      <c r="G331" s="2" t="s">
        <v>18</v>
      </c>
      <c r="H331" s="40">
        <f>VLOOKUP($D331,PRECIOS_REFERENCIAS!A$3:D$90,4,FALSE)</f>
        <v>160</v>
      </c>
      <c r="I331" s="6">
        <f>H331*F331</f>
        <v>160</v>
      </c>
    </row>
    <row r="332" spans="1:9" hidden="1" outlineLevel="2">
      <c r="A332" s="23"/>
      <c r="B332" s="2"/>
      <c r="C332" s="7"/>
      <c r="D332" s="2"/>
      <c r="E332" s="5" t="str">
        <f>VLOOKUP($D331,PRECIOS_REFERENCIAS!A$3:D$90,3,FALSE)</f>
        <v>SUSTITUCIÓN DE MÓDULO DE E/S ANALÓGICAS DE PLC EXISTENTE POR NUEVO MÓDULO DE PLC DEFINIDO. SALIDAS ANALÓGICAS 2</v>
      </c>
      <c r="F332" s="3"/>
      <c r="G332" s="2"/>
      <c r="H332" s="40"/>
      <c r="I332" s="6"/>
    </row>
    <row r="333" spans="1:9" hidden="1" outlineLevel="2">
      <c r="A333" s="24" t="s">
        <v>255</v>
      </c>
      <c r="B333" s="2" t="s">
        <v>210</v>
      </c>
      <c r="C333" s="2" t="s">
        <v>16</v>
      </c>
      <c r="D333" s="2" t="s">
        <v>210</v>
      </c>
      <c r="E333" s="39" t="str">
        <f>VLOOKUP($D333,PRECIOS_REFERENCIAS!A$3:D$48,2,FALSE)</f>
        <v>HMI LOCAL 4" ETHERNET Y COLOR</v>
      </c>
      <c r="F333" s="3">
        <v>1</v>
      </c>
      <c r="G333" s="2" t="s">
        <v>18</v>
      </c>
      <c r="H333" s="40">
        <f>VLOOKUP($D333,PRECIOS_REFERENCIAS!A$3:D$48,4,FALSE)</f>
        <v>297.52999999999997</v>
      </c>
      <c r="I333" s="6">
        <f>H333*F333</f>
        <v>297.52999999999997</v>
      </c>
    </row>
    <row r="334" spans="1:9" hidden="1" outlineLevel="2">
      <c r="A334" s="23"/>
      <c r="B334" s="2"/>
      <c r="C334" s="2"/>
      <c r="D334" s="2"/>
      <c r="E334" s="5" t="str">
        <f>VLOOKUP($D333,PRECIOS_REFERENCIAS!A$3:D$48,3,FALSE)</f>
        <v>SIMATIC HMI, KTP400 Basic, Basic Panel, Manejo con teclado/táctil, pantalla TFT de 4", 65536 colores // 6AV2123-2GB03-0AX0</v>
      </c>
      <c r="F334" s="7"/>
      <c r="G334" s="7"/>
      <c r="I334" s="6"/>
    </row>
    <row r="335" spans="1:9" hidden="1" outlineLevel="2">
      <c r="A335" s="24" t="s">
        <v>256</v>
      </c>
      <c r="B335" s="2" t="s">
        <v>20</v>
      </c>
      <c r="C335" s="2" t="s">
        <v>21</v>
      </c>
      <c r="D335" s="2" t="s">
        <v>56</v>
      </c>
      <c r="E335" s="39" t="str">
        <f>VLOOKUP($D335,PRECIOS_REFERENCIAS!A$3:D$90,2,FALSE)</f>
        <v>INSTALACION HMI</v>
      </c>
      <c r="F335" s="3">
        <f>F333</f>
        <v>1</v>
      </c>
      <c r="G335" s="2" t="s">
        <v>18</v>
      </c>
      <c r="H335" s="40">
        <f>VLOOKUP($D335,PRECIOS_REFERENCIAS!A$3:D$90,4,FALSE)</f>
        <v>125</v>
      </c>
      <c r="I335" s="6">
        <f>H335*F335</f>
        <v>125</v>
      </c>
    </row>
    <row r="336" spans="1:9" hidden="1" outlineLevel="2">
      <c r="A336" s="23"/>
      <c r="B336" s="2"/>
      <c r="C336" s="7"/>
      <c r="D336" s="2"/>
      <c r="E336" s="5" t="str">
        <f>VLOOKUP($D335,PRECIOS_REFERENCIAS!A$3:D$90,3,FALSE)</f>
        <v>INSTALACIÓN DE PANTALLA HMI</v>
      </c>
      <c r="F336" s="3"/>
      <c r="G336" s="2"/>
      <c r="H336" s="40"/>
      <c r="I336" s="6"/>
    </row>
    <row r="337" spans="1:9" hidden="1" outlineLevel="2">
      <c r="A337" s="24" t="s">
        <v>257</v>
      </c>
      <c r="B337" s="2" t="s">
        <v>213</v>
      </c>
      <c r="C337" s="2" t="s">
        <v>16</v>
      </c>
      <c r="D337" s="2" t="s">
        <v>258</v>
      </c>
      <c r="E337" s="39" t="str">
        <f>VLOOKUP($D337,PRECIOS_REFERENCIAS!A$3:D$27,2,FALSE)</f>
        <v>SWITCH SHDSL 2 PUERTOS + BYPASS</v>
      </c>
      <c r="F337" s="3">
        <v>1</v>
      </c>
      <c r="G337" s="2" t="s">
        <v>18</v>
      </c>
      <c r="H337" s="40">
        <f>VLOOKUP($D337,PRECIOS_REFERENCIAS!A$3:D$48,4,FALSE)</f>
        <v>1024.6500000000001</v>
      </c>
      <c r="I337" s="6">
        <f>H337*F337</f>
        <v>1024.6500000000001</v>
      </c>
    </row>
    <row r="338" spans="1:9" hidden="1" outlineLevel="2">
      <c r="A338" s="23"/>
      <c r="B338" s="2"/>
      <c r="C338" s="2"/>
      <c r="D338" s="2"/>
      <c r="E338" s="5" t="str">
        <f>VLOOKUP($D337,PRECIOS_REFERENCIAS!A$3:D$27,3,FALSE)</f>
        <v>SWITCH XSLAN+BP2400 O SIMILAR</v>
      </c>
      <c r="F338" s="7"/>
      <c r="G338" s="7"/>
      <c r="I338" s="6"/>
    </row>
    <row r="339" spans="1:9" hidden="1" outlineLevel="2">
      <c r="A339" s="24" t="s">
        <v>259</v>
      </c>
      <c r="B339" s="2" t="s">
        <v>20</v>
      </c>
      <c r="C339" s="2" t="s">
        <v>21</v>
      </c>
      <c r="D339" s="2" t="s">
        <v>61</v>
      </c>
      <c r="E339" s="39" t="str">
        <f>VLOOKUP($D339,PRECIOS_REFERENCIAS!A$3:D$90,2,FALSE)</f>
        <v>INSTALACION SWITCH SHDSL</v>
      </c>
      <c r="F339" s="3">
        <f>F337</f>
        <v>1</v>
      </c>
      <c r="G339" s="2" t="s">
        <v>18</v>
      </c>
      <c r="H339" s="40">
        <f>VLOOKUP($D339,PRECIOS_REFERENCIAS!A$3:D$90,4,FALSE)</f>
        <v>40</v>
      </c>
      <c r="I339" s="6">
        <f>H339*F339</f>
        <v>40</v>
      </c>
    </row>
    <row r="340" spans="1:9" hidden="1" outlineLevel="2">
      <c r="A340" s="23"/>
      <c r="B340" s="2"/>
      <c r="C340" s="7"/>
      <c r="D340" s="2"/>
      <c r="E340" s="5" t="str">
        <f>VLOOKUP($D339,PRECIOS_REFERENCIAS!A$3:D$90,3,FALSE)</f>
        <v>INSTALACIÓN DE ROUTER</v>
      </c>
      <c r="F340" s="3"/>
      <c r="G340" s="2"/>
      <c r="H340" s="40"/>
      <c r="I340" s="6"/>
    </row>
    <row r="341" spans="1:9" hidden="1" outlineLevel="2">
      <c r="A341" s="24" t="s">
        <v>260</v>
      </c>
      <c r="B341" s="2" t="s">
        <v>63</v>
      </c>
      <c r="C341" s="2" t="s">
        <v>16</v>
      </c>
      <c r="D341" s="2" t="s">
        <v>63</v>
      </c>
      <c r="E341" s="39" t="str">
        <f>VLOOKUP($D341,PRECIOS_REFERENCIAS!A$3:D$48,2,FALSE)</f>
        <v>DESCARGADOR DE SOBRETENSIONES LÍNEA SHDSL</v>
      </c>
      <c r="F341" s="3">
        <v>1</v>
      </c>
      <c r="G341" s="2" t="s">
        <v>18</v>
      </c>
      <c r="H341" s="40">
        <f>VLOOKUP($D341,PRECIOS_REFERENCIAS!A$3:D$48,4,FALSE)</f>
        <v>187</v>
      </c>
      <c r="I341" s="6">
        <f>H341*F341</f>
        <v>187</v>
      </c>
    </row>
    <row r="342" spans="1:9" hidden="1" outlineLevel="2">
      <c r="A342" s="23"/>
      <c r="B342" s="2"/>
      <c r="C342" s="2"/>
      <c r="D342" s="2"/>
      <c r="E342" s="5" t="str">
        <f>VLOOKUP($D341,PRECIOS_REFERENCIAS!A$3:D$48,3,FALSE)</f>
        <v>Equipo DT-TELE-SHDSL de Phoenix Contact con 2 puertos para conexión SHDSL</v>
      </c>
      <c r="F342" s="7"/>
      <c r="G342" s="7"/>
      <c r="I342" s="6"/>
    </row>
    <row r="343" spans="1:9" hidden="1" outlineLevel="2">
      <c r="A343" s="24" t="s">
        <v>261</v>
      </c>
      <c r="B343" s="2" t="s">
        <v>20</v>
      </c>
      <c r="C343" s="2" t="s">
        <v>21</v>
      </c>
      <c r="D343" s="2" t="s">
        <v>65</v>
      </c>
      <c r="E343" s="39" t="str">
        <f>VLOOKUP($D343,PRECIOS_REFERENCIAS!A$3:D$90,2,FALSE)</f>
        <v>INSTALACION DESCARGADOR</v>
      </c>
      <c r="F343" s="3">
        <f>F341</f>
        <v>1</v>
      </c>
      <c r="G343" s="2" t="s">
        <v>18</v>
      </c>
      <c r="H343" s="40">
        <f>VLOOKUP($D343,PRECIOS_REFERENCIAS!A$3:D$90,4,FALSE)</f>
        <v>64.403155112394401</v>
      </c>
      <c r="I343" s="6">
        <f>H343*F343</f>
        <v>64.403155112394401</v>
      </c>
    </row>
    <row r="344" spans="1:9" hidden="1" outlineLevel="2">
      <c r="A344" s="23"/>
      <c r="B344" s="2"/>
      <c r="C344" s="7"/>
      <c r="D344" s="2"/>
      <c r="E344" s="5" t="str">
        <f>VLOOKUP($D343,PRECIOS_REFERENCIAS!A$3:D$90,3,FALSE)</f>
        <v>INSTALACIÓN DE PROTECCIÓN CONTRA SOBRETENSIONES</v>
      </c>
      <c r="F344" s="3"/>
      <c r="G344" s="2"/>
      <c r="H344" s="40"/>
      <c r="I344" s="6"/>
    </row>
    <row r="345" spans="1:9" hidden="1" outlineLevel="2">
      <c r="A345" s="24" t="s">
        <v>262</v>
      </c>
      <c r="B345" s="2" t="s">
        <v>79</v>
      </c>
      <c r="C345" s="2" t="s">
        <v>80</v>
      </c>
      <c r="D345" s="2" t="s">
        <v>81</v>
      </c>
      <c r="E345" s="39" t="str">
        <f>VLOOKUP($D345,PRECIOS_REFERENCIAS!A$3:D$90,2,FALSE)</f>
        <v>PLANIFICACION</v>
      </c>
      <c r="F345" s="3">
        <v>1</v>
      </c>
      <c r="G345" s="2" t="s">
        <v>18</v>
      </c>
      <c r="H345" s="40">
        <f>VLOOKUP($D345,PRECIOS_REFERENCIAS!A$3:D$90,4,FALSE)</f>
        <v>40</v>
      </c>
      <c r="I345" s="6">
        <f>H345*F345</f>
        <v>40</v>
      </c>
    </row>
    <row r="346" spans="1:9" hidden="1" outlineLevel="2">
      <c r="A346" s="23"/>
      <c r="B346" s="2"/>
      <c r="C346" s="2"/>
      <c r="D346" s="2"/>
      <c r="E346" s="5" t="str">
        <f>VLOOKUP($D345,PRECIOS_REFERENCIAS!A$3:D$90,3,FALSE)</f>
        <v>PLANIFICACIÓN DE LOS TRABAJOS Y DESCARGA EN LOCAL DEL PROGRAMA DEL PLC</v>
      </c>
      <c r="F346" s="3"/>
      <c r="G346" s="2"/>
      <c r="H346" s="40"/>
      <c r="I346" s="6"/>
    </row>
    <row r="347" spans="1:9" hidden="1" outlineLevel="2">
      <c r="A347" s="24" t="s">
        <v>263</v>
      </c>
      <c r="B347" s="2" t="s">
        <v>83</v>
      </c>
      <c r="C347" s="2" t="s">
        <v>80</v>
      </c>
      <c r="D347" s="2" t="s">
        <v>80</v>
      </c>
      <c r="E347" s="39" t="str">
        <f>VLOOKUP($D347,PRECIOS_REFERENCIAS!A$3:D$90,2,FALSE)</f>
        <v>INGENIERIA + ESQUEMAS</v>
      </c>
      <c r="F347" s="3">
        <v>1</v>
      </c>
      <c r="G347" s="2" t="s">
        <v>18</v>
      </c>
      <c r="H347" s="40">
        <f>VLOOKUP($D347,PRECIOS_REFERENCIAS!A$3:D$90,4,FALSE)</f>
        <v>300</v>
      </c>
      <c r="I347" s="6">
        <f>H347*F347</f>
        <v>300</v>
      </c>
    </row>
    <row r="348" spans="1:9" ht="27.75" hidden="1" customHeight="1" outlineLevel="2">
      <c r="A348" s="23"/>
      <c r="B348" s="2"/>
      <c r="C348" s="2"/>
      <c r="D348" s="2"/>
      <c r="E348" s="5" t="str">
        <f>VLOOKUP($D347,PRECIOS_REFERENCIAS!A$3:D$90,3,FALSE)</f>
        <v>INGENIERÍA DE ACTUALIZACIÓN DE ESQUEMAS ELÉCTRICOS. INCLUYE LA REVISIÓN LOCAL DE LOS CUADROS Y ELEMENTOS DE CONTROL, ASÍ COMO LA COMPROBACIÓN DE LAS SEÑALES DE CONTROL.</v>
      </c>
      <c r="F348" s="3"/>
      <c r="G348" s="2"/>
      <c r="H348" s="40"/>
      <c r="I348" s="6"/>
    </row>
    <row r="349" spans="1:9" hidden="1" outlineLevel="2">
      <c r="A349" s="24" t="s">
        <v>264</v>
      </c>
      <c r="B349" s="2" t="s">
        <v>88</v>
      </c>
      <c r="C349" s="2" t="s">
        <v>80</v>
      </c>
      <c r="D349" s="2" t="s">
        <v>89</v>
      </c>
      <c r="E349" s="39" t="str">
        <f>VLOOKUP($D349,PRECIOS_REFERENCIAS!A$3:D$90,2,FALSE)</f>
        <v>PROGRAMA PLC NUEVO</v>
      </c>
      <c r="F349" s="3">
        <v>1</v>
      </c>
      <c r="G349" s="2" t="s">
        <v>18</v>
      </c>
      <c r="H349" s="40">
        <f>VLOOKUP($D349,PRECIOS_REFERENCIAS!A$3:D$90,4,FALSE)</f>
        <v>407.75660964439658</v>
      </c>
      <c r="I349" s="6">
        <f>H349*F349</f>
        <v>407.75660964439658</v>
      </c>
    </row>
    <row r="350" spans="1:9" hidden="1" outlineLevel="2">
      <c r="A350" s="23"/>
      <c r="B350" s="2"/>
      <c r="C350" s="2"/>
      <c r="D350" s="2"/>
      <c r="E350" s="5" t="str">
        <f>VLOOKUP($D349,PRECIOS_REFERENCIAS!A$3:D$90,3,FALSE)</f>
        <v>MIGRACION DEL PROGRAMA ACTUAL A LA NUEVA PLATAFORMA DE PROGRAMACION</v>
      </c>
      <c r="I350" s="6"/>
    </row>
    <row r="351" spans="1:9" hidden="1" outlineLevel="2">
      <c r="A351" s="24" t="s">
        <v>265</v>
      </c>
      <c r="B351" s="2" t="s">
        <v>227</v>
      </c>
      <c r="C351" s="2" t="s">
        <v>80</v>
      </c>
      <c r="D351" s="2" t="s">
        <v>228</v>
      </c>
      <c r="E351" s="39" t="str">
        <f>VLOOKUP($D351,PRECIOS_REFERENCIAS!A$3:D$90,2,FALSE)</f>
        <v>PRGRAMA MODBUS REMOTA 1200</v>
      </c>
      <c r="F351" s="3">
        <v>1</v>
      </c>
      <c r="G351" s="2" t="s">
        <v>18</v>
      </c>
      <c r="H351" s="40">
        <f>VLOOKUP($D351,PRECIOS_REFERENCIAS!A$3:D$90,4,FALSE)</f>
        <v>50</v>
      </c>
      <c r="I351" s="6">
        <f>H351*F351</f>
        <v>50</v>
      </c>
    </row>
    <row r="352" spans="1:9" hidden="1" outlineLevel="2">
      <c r="A352" s="23"/>
      <c r="B352" s="2"/>
      <c r="C352" s="2"/>
      <c r="D352" s="2"/>
      <c r="E352" s="5" t="str">
        <f>VLOOKUP($D351,PRECIOS_REFERENCIAS!A$3:D$90,3,FALSE)</f>
        <v>PROGRAMACION COMUNICACIÓN MODBUS CON OS CAUDALIMETROS</v>
      </c>
      <c r="I352" s="6"/>
    </row>
    <row r="353" spans="1:10" hidden="1" outlineLevel="2">
      <c r="A353" s="24" t="s">
        <v>266</v>
      </c>
      <c r="B353" s="2" t="s">
        <v>94</v>
      </c>
      <c r="C353" s="2" t="s">
        <v>80</v>
      </c>
      <c r="D353" s="2" t="s">
        <v>95</v>
      </c>
      <c r="E353" s="39" t="str">
        <f>VLOOKUP($D353,PRECIOS_REFERENCIAS!A$3:D$90,2,FALSE)</f>
        <v>PEM REMOTA</v>
      </c>
      <c r="F353" s="3">
        <v>1</v>
      </c>
      <c r="G353" s="2" t="s">
        <v>18</v>
      </c>
      <c r="H353" s="40">
        <f>VLOOKUP($D353,PRECIOS_REFERENCIAS!A$3:D$90,4,FALSE)</f>
        <v>851.7</v>
      </c>
      <c r="I353" s="6">
        <f>H353*F353</f>
        <v>851.7</v>
      </c>
    </row>
    <row r="354" spans="1:10" hidden="1" outlineLevel="2">
      <c r="A354" s="23"/>
      <c r="B354" s="2"/>
      <c r="C354" s="2"/>
      <c r="D354" s="2"/>
      <c r="E354" s="5" t="str">
        <f>VLOOKUP($D353,PRECIOS_REFERENCIAS!A$3:D$90,3,FALSE)</f>
        <v>PUESTA EN MARCHA DEL PROGRAMA DE CONTROL LOCAL</v>
      </c>
      <c r="F354" s="3"/>
      <c r="G354" s="2"/>
      <c r="H354" s="40"/>
      <c r="I354" s="6"/>
    </row>
    <row r="355" spans="1:10" hidden="1" outlineLevel="2">
      <c r="A355" s="24" t="s">
        <v>267</v>
      </c>
      <c r="B355" s="2" t="s">
        <v>97</v>
      </c>
      <c r="C355" s="2" t="s">
        <v>80</v>
      </c>
      <c r="D355" s="2" t="s">
        <v>98</v>
      </c>
      <c r="E355" s="39" t="str">
        <f>VLOOKUP($D355,PRECIOS_REFERENCIAS!A$3:D$90,2,FALSE)</f>
        <v>REVISION SCADA</v>
      </c>
      <c r="F355" s="3">
        <v>1</v>
      </c>
      <c r="G355" s="2" t="s">
        <v>18</v>
      </c>
      <c r="H355" s="40">
        <f>VLOOKUP($D355,PRECIOS_REFERENCIAS!A$3:D$90,4,FALSE)</f>
        <v>60</v>
      </c>
      <c r="I355" s="6">
        <f>H355*F355</f>
        <v>60</v>
      </c>
    </row>
    <row r="356" spans="1:10" hidden="1" outlineLevel="2">
      <c r="A356" s="23"/>
      <c r="B356" s="2"/>
      <c r="C356" s="2"/>
      <c r="D356" s="2"/>
      <c r="E356" s="5" t="str">
        <f>VLOOKUP($D355,PRECIOS_REFERENCIAS!A$3:D$90,3,FALSE)</f>
        <v>REVISIÓN DEL PROGRAMA DE SUPERVISIÓN SCADA</v>
      </c>
      <c r="I356" s="6"/>
    </row>
    <row r="357" spans="1:10" hidden="1" outlineLevel="2">
      <c r="A357" s="24"/>
      <c r="B357" s="2"/>
      <c r="C357" s="2" t="s">
        <v>16</v>
      </c>
      <c r="D357" s="2"/>
      <c r="E357" s="76" t="str">
        <f>CONCATENATE(E290," - TOTAL HARDWARE")</f>
        <v>ER3 DEPOSTIO LEGAZPI - TOTAL HARDWARE</v>
      </c>
      <c r="F357" s="74"/>
      <c r="G357" s="74"/>
      <c r="H357" s="74"/>
      <c r="I357" s="75">
        <f>I291+I295+I299+I303+I315+I319+I323+I329+I333+I337+I341+I307+I301+I311</f>
        <v>5630.2431182073296</v>
      </c>
    </row>
    <row r="358" spans="1:10" hidden="1" outlineLevel="2">
      <c r="A358" s="23"/>
      <c r="B358" s="2"/>
      <c r="C358" s="2" t="s">
        <v>21</v>
      </c>
      <c r="D358" s="2"/>
      <c r="E358" s="76" t="str">
        <f>CONCATENATE(E290," - TOTAL INSTALACION")</f>
        <v>ER3 DEPOSTIO LEGAZPI - TOTAL INSTALACION</v>
      </c>
      <c r="F358" s="74"/>
      <c r="G358" s="74"/>
      <c r="H358" s="74"/>
      <c r="I358" s="75">
        <f>I293+I297+I305+I317+I321+I325+I331+I335+I339+I343+I309+I327+I313</f>
        <v>2807.498170823545</v>
      </c>
    </row>
    <row r="359" spans="1:10" hidden="1" outlineLevel="2">
      <c r="A359" s="23"/>
      <c r="B359" s="2"/>
      <c r="C359" s="2" t="s">
        <v>80</v>
      </c>
      <c r="D359" s="2"/>
      <c r="E359" s="76" t="str">
        <f>CONCATENATE(E290," - TOTAL INGENIERIA")</f>
        <v>ER3 DEPOSTIO LEGAZPI - TOTAL INGENIERIA</v>
      </c>
      <c r="F359" s="74"/>
      <c r="G359" s="74"/>
      <c r="H359" s="74"/>
      <c r="I359" s="75">
        <f>I345+I347+I349+I353+I355+I351</f>
        <v>1709.4566096443966</v>
      </c>
      <c r="J359" s="22">
        <f>SUM(I357:I359)</f>
        <v>10147.197898675271</v>
      </c>
    </row>
    <row r="360" spans="1:10" hidden="1" outlineLevel="2">
      <c r="E360" s="41" t="str">
        <f>CONCATENATE("TOTAL ",A290)</f>
        <v>TOTAL  SUBCAPÍTULO 01.06</v>
      </c>
      <c r="H360" s="41"/>
      <c r="I360" s="42">
        <f>SUM(I291:I356)</f>
        <v>10147.197898675271</v>
      </c>
    </row>
    <row r="361" spans="1:10" hidden="1" outlineLevel="1">
      <c r="A361" s="44" t="s">
        <v>268</v>
      </c>
      <c r="B361" s="44"/>
      <c r="C361" s="44"/>
      <c r="D361" s="44"/>
      <c r="E361" s="43" t="s">
        <v>269</v>
      </c>
      <c r="F361" s="44"/>
      <c r="G361" s="44" t="s">
        <v>11</v>
      </c>
      <c r="H361" s="45"/>
      <c r="I361" s="64">
        <f>I419</f>
        <v>7049.6084740550714</v>
      </c>
    </row>
    <row r="362" spans="1:10" hidden="1" outlineLevel="2">
      <c r="A362" s="24" t="s">
        <v>270</v>
      </c>
      <c r="B362" s="2" t="s">
        <v>15</v>
      </c>
      <c r="C362" s="2" t="s">
        <v>16</v>
      </c>
      <c r="D362" s="2" t="s">
        <v>15</v>
      </c>
      <c r="E362" s="39" t="str">
        <f>VLOOKUP($D362,PRECIOS_REFERENCIAS!A$3:D$90,2,FALSE)</f>
        <v xml:space="preserve">CARRIL DIN </v>
      </c>
      <c r="F362" s="3">
        <v>1</v>
      </c>
      <c r="G362" s="2" t="s">
        <v>18</v>
      </c>
      <c r="H362" s="40">
        <f>VLOOKUP($D362,PRECIOS_REFERENCIAS!A$3:D$90,4,FALSE)</f>
        <v>2.6481182073295662</v>
      </c>
      <c r="I362" s="6">
        <f>H362*F362</f>
        <v>2.6481182073295662</v>
      </c>
    </row>
    <row r="363" spans="1:10" hidden="1" outlineLevel="2">
      <c r="A363" s="23"/>
      <c r="B363" s="2"/>
      <c r="C363" s="2"/>
      <c r="D363" s="2"/>
      <c r="E363" s="5" t="str">
        <f>VLOOKUP($D362,PRECIOS_REFERENCIAS!A$3:D$90,3,FALSE)</f>
        <v>CARRIL DIN PARA REMOTA S7-1200</v>
      </c>
      <c r="F363" s="3"/>
      <c r="G363" s="2"/>
      <c r="H363" s="40"/>
      <c r="I363" s="6"/>
    </row>
    <row r="364" spans="1:10" hidden="1" outlineLevel="2">
      <c r="A364" s="24" t="s">
        <v>271</v>
      </c>
      <c r="B364" s="2" t="s">
        <v>20</v>
      </c>
      <c r="C364" s="2" t="s">
        <v>21</v>
      </c>
      <c r="D364" s="2" t="s">
        <v>22</v>
      </c>
      <c r="E364" s="39" t="str">
        <f>VLOOKUP($D364,PRECIOS_REFERENCIAS!A$3:D$90,2,FALSE)</f>
        <v xml:space="preserve">INSTALACION CARRIL DIN </v>
      </c>
      <c r="F364" s="3">
        <v>1</v>
      </c>
      <c r="G364" s="2" t="s">
        <v>18</v>
      </c>
      <c r="H364" s="40">
        <f>VLOOKUP($D364,PRECIOS_REFERENCIAS!A$3:D$90,4,FALSE)</f>
        <v>35.402252939916011</v>
      </c>
      <c r="I364" s="6">
        <f>H364*F364</f>
        <v>35.402252939916011</v>
      </c>
    </row>
    <row r="365" spans="1:10" hidden="1" outlineLevel="2">
      <c r="A365" s="23"/>
      <c r="B365" s="2"/>
      <c r="C365" s="2"/>
      <c r="D365" s="2"/>
      <c r="E365" s="5" t="str">
        <f>VLOOKUP($D364,PRECIOS_REFERENCIAS!A$3:D$90,3,FALSE)</f>
        <v>SUSTITUCIÓN DE PERFIL SOPORTE DE PLC EXISTENTE POR NUEVO PERFIL DE PLC DEFINIDO, DENTRO DEL ARMARIO ELÉCTRICO ACTUAL.</v>
      </c>
      <c r="F365" s="3"/>
      <c r="G365" s="2"/>
      <c r="H365" s="40"/>
      <c r="I365" s="6"/>
    </row>
    <row r="366" spans="1:10" hidden="1" outlineLevel="2">
      <c r="A366" s="24" t="s">
        <v>272</v>
      </c>
      <c r="B366" s="2" t="s">
        <v>104</v>
      </c>
      <c r="C366" s="2" t="s">
        <v>16</v>
      </c>
      <c r="D366" s="2" t="s">
        <v>104</v>
      </c>
      <c r="E366" s="39" t="str">
        <f>VLOOKUP($D366,PRECIOS_REFERENCIAS!A$3:D$48,2,FALSE)</f>
        <v>SUMINISTRO DE CPU REMOTAS</v>
      </c>
      <c r="F366" s="3">
        <v>1</v>
      </c>
      <c r="G366" s="2" t="s">
        <v>18</v>
      </c>
      <c r="H366" s="40">
        <f>VLOOKUP($D366,PRECIOS_REFERENCIAS!A$3:D$48,4,FALSE)</f>
        <v>416.28749999999997</v>
      </c>
      <c r="I366" s="6">
        <f>H366*F366</f>
        <v>416.28749999999997</v>
      </c>
    </row>
    <row r="367" spans="1:10" hidden="1" outlineLevel="2">
      <c r="A367" s="23"/>
      <c r="B367" s="38"/>
      <c r="C367" s="38"/>
      <c r="D367" s="38"/>
      <c r="E367" s="5" t="str">
        <f>VLOOKUP($D366,PRECIOS_REFERENCIAS!A$3:D$48,3,FALSE)</f>
        <v>SIMATIC S7-1200 - CPU 1214C //6ES7214-1AG40-0XB0</v>
      </c>
      <c r="F367" s="7"/>
      <c r="G367" s="7"/>
      <c r="I367" s="6"/>
    </row>
    <row r="368" spans="1:10" hidden="1" outlineLevel="2">
      <c r="A368" s="24" t="s">
        <v>273</v>
      </c>
      <c r="B368" s="2" t="s">
        <v>20</v>
      </c>
      <c r="C368" s="2" t="s">
        <v>21</v>
      </c>
      <c r="D368" s="2" t="s">
        <v>28</v>
      </c>
      <c r="E368" s="39" t="str">
        <f>VLOOKUP($D368,PRECIOS_REFERENCIAS!A$3:D$90,2,FALSE)</f>
        <v>INSTALACION CPU</v>
      </c>
      <c r="F368" s="3">
        <v>1</v>
      </c>
      <c r="G368" s="2" t="s">
        <v>18</v>
      </c>
      <c r="H368" s="40">
        <f>VLOOKUP($D368,PRECIOS_REFERENCIAS!A$3:D$90,4,FALSE)</f>
        <v>123.90076030798227</v>
      </c>
      <c r="I368" s="6">
        <f>H368*F368</f>
        <v>123.90076030798227</v>
      </c>
    </row>
    <row r="369" spans="1:9" hidden="1" outlineLevel="2">
      <c r="A369" s="23"/>
      <c r="B369" s="2"/>
      <c r="C369" s="2"/>
      <c r="D369" s="2"/>
      <c r="E369" s="5" t="str">
        <f>VLOOKUP($D368,PRECIOS_REFERENCIAS!A$3:D$90,3,FALSE)</f>
        <v>SUSTITUCIÓN DE CPU DE PLC EXISTENTE POR NUEVA CPU DE PLC DEFINIDA</v>
      </c>
      <c r="F369" s="3"/>
      <c r="G369" s="2"/>
      <c r="H369" s="40"/>
      <c r="I369" s="6"/>
    </row>
    <row r="370" spans="1:9" hidden="1" outlineLevel="2">
      <c r="A370" s="24" t="s">
        <v>274</v>
      </c>
      <c r="B370" s="2" t="s">
        <v>153</v>
      </c>
      <c r="C370" s="2" t="s">
        <v>16</v>
      </c>
      <c r="D370" s="2" t="s">
        <v>153</v>
      </c>
      <c r="E370" s="39" t="str">
        <f>VLOOKUP($D370,PRECIOS_REFERENCIAS!A$3:D$48,2,FALSE)</f>
        <v>SUMINISTRO DE FUENTE ALIMENTACIÓN CPU REMOTAS</v>
      </c>
      <c r="F370" s="3">
        <v>1</v>
      </c>
      <c r="G370" s="2" t="s">
        <v>18</v>
      </c>
      <c r="H370" s="40">
        <f>VLOOKUP($D370,PRECIOS_REFERENCIAS!A$3:D$48,4,FALSE)</f>
        <v>180.01500000000001</v>
      </c>
      <c r="I370" s="6">
        <f>H370*F370</f>
        <v>180.01500000000001</v>
      </c>
    </row>
    <row r="371" spans="1:9" hidden="1" outlineLevel="2">
      <c r="A371" s="23"/>
      <c r="B371" s="7"/>
      <c r="C371" s="7"/>
      <c r="D371" s="7"/>
      <c r="E371" s="5" t="str">
        <f>VLOOKUP($D370,PRECIOS_REFERENCIAS!A$3:D$48,3,FALSE)</f>
        <v>SITOP PSU6200 24 V/10 A // 6EP3334-7SB00-3AX0    </v>
      </c>
      <c r="F371" s="7"/>
      <c r="G371" s="7"/>
      <c r="I371" s="6"/>
    </row>
    <row r="372" spans="1:9" hidden="1" outlineLevel="2">
      <c r="A372" s="24" t="s">
        <v>275</v>
      </c>
      <c r="B372" s="2" t="s">
        <v>155</v>
      </c>
      <c r="C372" s="2" t="s">
        <v>16</v>
      </c>
      <c r="D372" s="2" t="s">
        <v>156</v>
      </c>
      <c r="E372" s="39" t="str">
        <f>VLOOKUP($D372,PRECIOS_REFERENCIAS!A$3:D$98,2,FALSE)</f>
        <v>TARJETA DE MEMORIA S7-1200</v>
      </c>
      <c r="F372" s="3">
        <v>1</v>
      </c>
      <c r="G372" s="2" t="s">
        <v>18</v>
      </c>
      <c r="H372" s="40">
        <f>VLOOKUP($D372,PRECIOS_REFERENCIAS!A$3:D$100,4,FALSE)</f>
        <v>263.13750000000005</v>
      </c>
      <c r="I372" s="6">
        <f>H372*F372</f>
        <v>263.13750000000005</v>
      </c>
    </row>
    <row r="373" spans="1:9" hidden="1" outlineLevel="2">
      <c r="A373" s="23"/>
      <c r="B373" s="7"/>
      <c r="C373" s="7"/>
      <c r="D373" s="7"/>
      <c r="E373" s="5" t="str">
        <f>VLOOKUP($D372,PRECIOS_REFERENCIAS!A$3:D$98,3,FALSE)</f>
        <v>SIMATIC S7 Memory Card, 24 MB //6ES7954-8LF03-0AA0</v>
      </c>
      <c r="F373" s="7"/>
      <c r="G373" s="7"/>
      <c r="I373" s="6"/>
    </row>
    <row r="374" spans="1:9" hidden="1" outlineLevel="2">
      <c r="A374" s="24" t="s">
        <v>276</v>
      </c>
      <c r="B374" s="2" t="s">
        <v>158</v>
      </c>
      <c r="C374" s="2" t="s">
        <v>16</v>
      </c>
      <c r="D374" s="2" t="s">
        <v>159</v>
      </c>
      <c r="E374" s="39" t="str">
        <f>VLOOKUP($D374,PRECIOS_REFERENCIAS!A$3:D$90,2,FALSE)</f>
        <v>TARJETA COMUNICACIONES  S7-1200</v>
      </c>
      <c r="F374" s="3">
        <v>1</v>
      </c>
      <c r="G374" s="2" t="s">
        <v>18</v>
      </c>
      <c r="H374" s="40">
        <f>VLOOKUP($D374,PRECIOS_REFERENCIAS!A$3:D$90,4,FALSE)</f>
        <v>518.66999999999996</v>
      </c>
      <c r="I374" s="6">
        <f>H374*F374</f>
        <v>518.66999999999996</v>
      </c>
    </row>
    <row r="375" spans="1:9" hidden="1" outlineLevel="2">
      <c r="A375" s="23"/>
      <c r="B375" s="2"/>
      <c r="C375" s="38"/>
      <c r="D375" s="2"/>
      <c r="E375" s="5" t="str">
        <f>VLOOKUP($D374,PRECIOS_REFERENCIAS!A$3:D$90,3,FALSE)</f>
        <v>SIMATIC S7-1200  Modulo Ethernet CP 1243-1  //6GK7243-1BX30-0XE0</v>
      </c>
      <c r="F375" s="3"/>
      <c r="G375" s="2"/>
      <c r="H375" s="40"/>
      <c r="I375" s="6"/>
    </row>
    <row r="376" spans="1:9" hidden="1" outlineLevel="2">
      <c r="A376" s="24" t="s">
        <v>277</v>
      </c>
      <c r="B376" s="2" t="s">
        <v>20</v>
      </c>
      <c r="C376" s="2" t="s">
        <v>21</v>
      </c>
      <c r="D376" s="2" t="s">
        <v>161</v>
      </c>
      <c r="E376" s="39" t="str">
        <f>VLOOKUP($D376,PRECIOS_REFERENCIAS!A$3:D$90,2,FALSE)</f>
        <v>INSTALACION COM ADICIONAL</v>
      </c>
      <c r="F376" s="3">
        <v>1</v>
      </c>
      <c r="G376" s="2" t="s">
        <v>18</v>
      </c>
      <c r="H376" s="40">
        <f>VLOOKUP($D376,PRECIOS_REFERENCIAS!A$3:D$90,4,FALSE)</f>
        <v>40</v>
      </c>
      <c r="I376" s="6">
        <f>H376*F376</f>
        <v>40</v>
      </c>
    </row>
    <row r="377" spans="1:9" hidden="1" outlineLevel="2">
      <c r="A377" s="23"/>
      <c r="B377" s="7"/>
      <c r="C377" s="7"/>
      <c r="D377" s="7"/>
      <c r="E377" s="5" t="str">
        <f>VLOOKUP($D376,PRECIOS_REFERENCIAS!A$3:D$90,3,FALSE)</f>
        <v xml:space="preserve">INSTALACION TARJETA COMUNICACIONES ADICIONAL </v>
      </c>
      <c r="F377" s="7"/>
      <c r="G377" s="7"/>
      <c r="I377" s="6"/>
    </row>
    <row r="378" spans="1:9" hidden="1" outlineLevel="2">
      <c r="A378" s="24" t="s">
        <v>278</v>
      </c>
      <c r="B378" s="2" t="s">
        <v>108</v>
      </c>
      <c r="C378" s="2" t="s">
        <v>16</v>
      </c>
      <c r="D378" s="2" t="s">
        <v>108</v>
      </c>
      <c r="E378" s="39" t="str">
        <f>VLOOKUP($D378,PRECIOS_REFERENCIAS!A$3:D$48,2,FALSE)</f>
        <v>SUMINISTRO MÓDULO DE 16 ENTRADAS DIGITALES</v>
      </c>
      <c r="F378" s="3">
        <v>1</v>
      </c>
      <c r="G378" s="2" t="s">
        <v>18</v>
      </c>
      <c r="H378" s="40">
        <f>VLOOKUP($D378,PRECIOS_REFERENCIAS!A$3:D$48,4,FALSE)</f>
        <v>177.54749999999999</v>
      </c>
      <c r="I378" s="6">
        <f>H378*F378</f>
        <v>177.54749999999999</v>
      </c>
    </row>
    <row r="379" spans="1:9" hidden="1" outlineLevel="2">
      <c r="A379" s="23"/>
      <c r="B379" s="7"/>
      <c r="C379" s="7"/>
      <c r="D379" s="7"/>
      <c r="E379" s="5" t="str">
        <f>VLOOKUP($D378,PRECIOS_REFERENCIAS!A$3:D$48,3,FALSE)</f>
        <v xml:space="preserve">SIMATIC S7-1200,  Módulo SM1221 //6ES7221-1BH32-0XB0 </v>
      </c>
      <c r="F379" s="7"/>
      <c r="G379" s="7"/>
      <c r="I379" s="6"/>
    </row>
    <row r="380" spans="1:9" hidden="1" outlineLevel="2">
      <c r="A380" s="24" t="s">
        <v>279</v>
      </c>
      <c r="B380" s="2" t="s">
        <v>20</v>
      </c>
      <c r="C380" s="2" t="s">
        <v>21</v>
      </c>
      <c r="D380" s="2" t="s">
        <v>35</v>
      </c>
      <c r="E380" s="39" t="str">
        <f>VLOOKUP($D380,PRECIOS_REFERENCIAS!A$3:D$90,2,FALSE)</f>
        <v>INSTALACION ED</v>
      </c>
      <c r="F380" s="3">
        <f>F378+1</f>
        <v>2</v>
      </c>
      <c r="G380" s="2" t="s">
        <v>18</v>
      </c>
      <c r="H380" s="40">
        <f>VLOOKUP($D380,PRECIOS_REFERENCIAS!A$3:D$90,4,FALSE)</f>
        <v>161.97310014887609</v>
      </c>
      <c r="I380" s="6">
        <f>H380*F380</f>
        <v>323.94620029775217</v>
      </c>
    </row>
    <row r="381" spans="1:9" hidden="1" outlineLevel="2">
      <c r="A381" s="23"/>
      <c r="B381" s="2"/>
      <c r="C381" s="7"/>
      <c r="D381" s="2"/>
      <c r="E381" s="5" t="str">
        <f>VLOOKUP($D380,PRECIOS_REFERENCIAS!A$3:D$90,3,FALSE)</f>
        <v>SUSTITUCIÓN DE MÓDULO DE E/S DIGITALES DE PLC EXISTENTE POR NUEVO MÓDULO DE PLC DEFINIDO. ENTRADA DIGITAL 16</v>
      </c>
      <c r="F381" s="3"/>
      <c r="G381" s="2"/>
      <c r="H381" s="40"/>
      <c r="I381" s="6"/>
    </row>
    <row r="382" spans="1:9" hidden="1" outlineLevel="2">
      <c r="A382" s="24" t="s">
        <v>280</v>
      </c>
      <c r="B382" s="2" t="s">
        <v>20</v>
      </c>
      <c r="C382" s="2" t="s">
        <v>21</v>
      </c>
      <c r="D382" s="2" t="s">
        <v>41</v>
      </c>
      <c r="E382" s="39" t="str">
        <f>VLOOKUP($D382,PRECIOS_REFERENCIAS!A$3:D$90,2,FALSE)</f>
        <v>INSTALACION SD</v>
      </c>
      <c r="F382" s="3">
        <v>1</v>
      </c>
      <c r="G382" s="2" t="s">
        <v>18</v>
      </c>
      <c r="H382" s="40">
        <f>VLOOKUP($D382,PRECIOS_REFERENCIAS!A$3:D$90,4,FALSE)</f>
        <v>162.83522293745065</v>
      </c>
      <c r="I382" s="6">
        <f>H382*F382</f>
        <v>162.83522293745065</v>
      </c>
    </row>
    <row r="383" spans="1:9" hidden="1" outlineLevel="2">
      <c r="A383" s="23"/>
      <c r="B383" s="2"/>
      <c r="C383" s="7"/>
      <c r="D383" s="2"/>
      <c r="E383" s="5" t="str">
        <f>VLOOKUP($D382,PRECIOS_REFERENCIAS!A$3:D$90,3,FALSE)</f>
        <v>SUSTITUCIÓN DE MÓDULO DE E/S DIGITALES DE PLC EXISTENTE POR NUEVO MÓDULO DE PLC DEFINIDO. SALIDA DIGITAL 16</v>
      </c>
      <c r="F383" s="3"/>
      <c r="G383" s="2"/>
      <c r="H383" s="40"/>
      <c r="I383" s="6"/>
    </row>
    <row r="384" spans="1:9" hidden="1" outlineLevel="2">
      <c r="A384" s="24" t="s">
        <v>281</v>
      </c>
      <c r="B384" s="2" t="s">
        <v>20</v>
      </c>
      <c r="C384" s="2" t="s">
        <v>21</v>
      </c>
      <c r="D384" s="2" t="s">
        <v>46</v>
      </c>
      <c r="E384" s="39" t="str">
        <f>VLOOKUP($D384,PRECIOS_REFERENCIAS!A$3:D$90,2,FALSE)</f>
        <v>INSTALACION EA</v>
      </c>
      <c r="F384" s="3">
        <v>1</v>
      </c>
      <c r="G384" s="2" t="s">
        <v>18</v>
      </c>
      <c r="H384" s="40">
        <f>VLOOKUP($D384,PRECIOS_REFERENCIAS!A$3:D$90,4,FALSE)</f>
        <v>237.18351660213608</v>
      </c>
      <c r="I384" s="6">
        <f>H384*F384</f>
        <v>237.18351660213608</v>
      </c>
    </row>
    <row r="385" spans="1:9" hidden="1" outlineLevel="2">
      <c r="A385" s="23"/>
      <c r="B385" s="2"/>
      <c r="C385" s="7"/>
      <c r="D385" s="2"/>
      <c r="E385" s="5" t="str">
        <f>VLOOKUP($D384,PRECIOS_REFERENCIAS!A$3:D$90,3,FALSE)</f>
        <v>SUSTITUCIÓN DE MÓDULO DE E/S ANALÓGICAS DE PLC EXISTENTE POR NUEVO MÓDULO DE PLC DEFINIDO. ENTRADA ANALÓGICAS 8</v>
      </c>
      <c r="F385" s="3"/>
      <c r="G385" s="2"/>
      <c r="H385" s="40"/>
      <c r="I385" s="6"/>
    </row>
    <row r="386" spans="1:9" hidden="1" outlineLevel="2">
      <c r="A386" s="24" t="s">
        <v>282</v>
      </c>
      <c r="B386" s="2" t="s">
        <v>170</v>
      </c>
      <c r="C386" s="2" t="s">
        <v>16</v>
      </c>
      <c r="D386" s="2" t="s">
        <v>170</v>
      </c>
      <c r="E386" s="39" t="str">
        <f>VLOOKUP($D386,PRECIOS_REFERENCIAS!A$3:D$48,2,FALSE)</f>
        <v>SUMINISTRO MÓDULO DE 2 SALIDAS ANALÓGICAS</v>
      </c>
      <c r="F386" s="3">
        <v>1</v>
      </c>
      <c r="G386" s="2" t="s">
        <v>18</v>
      </c>
      <c r="H386" s="40">
        <f>VLOOKUP($D386,PRECIOS_REFERENCIAS!A$3:D$48,4,FALSE)</f>
        <v>243.10499999999999</v>
      </c>
      <c r="I386" s="6">
        <f>H386*F386</f>
        <v>243.10499999999999</v>
      </c>
    </row>
    <row r="387" spans="1:9" hidden="1" outlineLevel="2">
      <c r="A387" s="23"/>
      <c r="B387" s="7"/>
      <c r="D387" s="7"/>
      <c r="E387" s="5" t="str">
        <f>VLOOKUP($D386,PRECIOS_REFERENCIAS!A$3:D$48,3,FALSE)</f>
        <v xml:space="preserve">SIMATIC S7-1200,  Módulo de Salidas analógicas, SM 1232, 2 AO //6ES7232-4HB32-0XB0 </v>
      </c>
      <c r="F387" s="7"/>
      <c r="G387" s="7"/>
      <c r="I387" s="6"/>
    </row>
    <row r="388" spans="1:9" hidden="1" outlineLevel="2">
      <c r="A388" s="24" t="s">
        <v>283</v>
      </c>
      <c r="B388" s="2" t="s">
        <v>20</v>
      </c>
      <c r="C388" s="2" t="s">
        <v>21</v>
      </c>
      <c r="D388" s="2" t="s">
        <v>51</v>
      </c>
      <c r="E388" s="39" t="str">
        <f>VLOOKUP($D388,PRECIOS_REFERENCIAS!A$3:D$90,2,FALSE)</f>
        <v>INSTALACION SA</v>
      </c>
      <c r="F388" s="3">
        <f>F386</f>
        <v>1</v>
      </c>
      <c r="G388" s="2" t="s">
        <v>18</v>
      </c>
      <c r="H388" s="40">
        <f>VLOOKUP($D388,PRECIOS_REFERENCIAS!A$3:D$90,4,FALSE)</f>
        <v>160</v>
      </c>
      <c r="I388" s="6">
        <f>H388*F388</f>
        <v>160</v>
      </c>
    </row>
    <row r="389" spans="1:9" hidden="1" outlineLevel="2">
      <c r="A389" s="23"/>
      <c r="B389" s="2"/>
      <c r="C389" s="7"/>
      <c r="D389" s="2"/>
      <c r="E389" s="5" t="str">
        <f>VLOOKUP($D388,PRECIOS_REFERENCIAS!A$3:D$90,3,FALSE)</f>
        <v>SUSTITUCIÓN DE MÓDULO DE E/S ANALÓGICAS DE PLC EXISTENTE POR NUEVO MÓDULO DE PLC DEFINIDO. SALIDAS ANALÓGICAS 2</v>
      </c>
      <c r="F389" s="3"/>
      <c r="G389" s="2"/>
      <c r="H389" s="40"/>
      <c r="I389" s="6"/>
    </row>
    <row r="390" spans="1:9" hidden="1" outlineLevel="2">
      <c r="A390" s="24" t="s">
        <v>284</v>
      </c>
      <c r="B390" s="2" t="s">
        <v>210</v>
      </c>
      <c r="C390" s="2" t="s">
        <v>16</v>
      </c>
      <c r="D390" s="2" t="s">
        <v>210</v>
      </c>
      <c r="E390" s="39" t="str">
        <f>VLOOKUP($D390,PRECIOS_REFERENCIAS!A$3:D$48,2,FALSE)</f>
        <v>HMI LOCAL 4" ETHERNET Y COLOR</v>
      </c>
      <c r="F390" s="3">
        <v>1</v>
      </c>
      <c r="G390" s="2" t="s">
        <v>18</v>
      </c>
      <c r="H390" s="40">
        <f>VLOOKUP($D390,PRECIOS_REFERENCIAS!A$3:D$48,4,FALSE)</f>
        <v>297.52999999999997</v>
      </c>
      <c r="I390" s="6">
        <f>H390*F390</f>
        <v>297.52999999999997</v>
      </c>
    </row>
    <row r="391" spans="1:9" hidden="1" outlineLevel="2">
      <c r="A391" s="23"/>
      <c r="B391" s="2"/>
      <c r="C391" s="2"/>
      <c r="D391" s="2"/>
      <c r="E391" s="5" t="str">
        <f>VLOOKUP($D390,PRECIOS_REFERENCIAS!A$3:D$48,3,FALSE)</f>
        <v>SIMATIC HMI, KTP400 Basic, Basic Panel, Manejo con teclado/táctil, pantalla TFT de 4", 65536 colores // 6AV2123-2GB03-0AX0</v>
      </c>
      <c r="F391" s="7"/>
      <c r="G391" s="7"/>
      <c r="I391" s="6"/>
    </row>
    <row r="392" spans="1:9" hidden="1" outlineLevel="2">
      <c r="A392" s="24" t="s">
        <v>285</v>
      </c>
      <c r="B392" s="2" t="s">
        <v>20</v>
      </c>
      <c r="C392" s="2" t="s">
        <v>21</v>
      </c>
      <c r="D392" s="2" t="s">
        <v>56</v>
      </c>
      <c r="E392" s="39" t="str">
        <f>VLOOKUP($D392,PRECIOS_REFERENCIAS!A$3:D$90,2,FALSE)</f>
        <v>INSTALACION HMI</v>
      </c>
      <c r="F392" s="3">
        <v>1</v>
      </c>
      <c r="G392" s="2" t="s">
        <v>18</v>
      </c>
      <c r="H392" s="40">
        <f>VLOOKUP($D392,PRECIOS_REFERENCIAS!A$3:D$90,4,FALSE)</f>
        <v>125</v>
      </c>
      <c r="I392" s="6">
        <f>H392*F392</f>
        <v>125</v>
      </c>
    </row>
    <row r="393" spans="1:9" hidden="1" outlineLevel="2">
      <c r="A393" s="23"/>
      <c r="B393" s="2"/>
      <c r="C393" s="7"/>
      <c r="D393" s="2"/>
      <c r="E393" s="5" t="str">
        <f>VLOOKUP($D392,PRECIOS_REFERENCIAS!A$3:D$90,3,FALSE)</f>
        <v>INSTALACIÓN DE PANTALLA HMI</v>
      </c>
      <c r="F393" s="3"/>
      <c r="G393" s="2"/>
      <c r="H393" s="40"/>
      <c r="I393" s="6"/>
    </row>
    <row r="394" spans="1:9" hidden="1" outlineLevel="2">
      <c r="A394" s="24" t="s">
        <v>286</v>
      </c>
      <c r="B394" s="2" t="s">
        <v>175</v>
      </c>
      <c r="C394" s="2" t="s">
        <v>16</v>
      </c>
      <c r="D394" s="2" t="s">
        <v>176</v>
      </c>
      <c r="E394" s="39" t="str">
        <f>VLOOKUP($D394,PRECIOS_REFERENCIAS!A$3:D$27,2,FALSE)</f>
        <v>SWITCH SHDSL 4 PUERTOS + BYPASS</v>
      </c>
      <c r="F394" s="3">
        <v>1</v>
      </c>
      <c r="G394" s="2" t="s">
        <v>18</v>
      </c>
      <c r="H394" s="40">
        <f>VLOOKUP($D394,PRECIOS_REFERENCIAS!A$3:D$48,4,FALSE)</f>
        <v>1024.6500000000001</v>
      </c>
      <c r="I394" s="6">
        <f>H394*F394</f>
        <v>1024.6500000000001</v>
      </c>
    </row>
    <row r="395" spans="1:9" hidden="1" outlineLevel="2">
      <c r="A395" s="23"/>
      <c r="B395" s="2"/>
      <c r="C395" s="2"/>
      <c r="D395" s="2"/>
      <c r="E395" s="5" t="str">
        <f>VLOOKUP($D394,PRECIOS_REFERENCIAS!A$3:D$27,3,FALSE)</f>
        <v>SWITCH XSLAN+BP4200 O SIMILAR</v>
      </c>
      <c r="F395" s="7"/>
      <c r="G395" s="7"/>
      <c r="I395" s="6"/>
    </row>
    <row r="396" spans="1:9" hidden="1" outlineLevel="2">
      <c r="A396" s="24" t="s">
        <v>287</v>
      </c>
      <c r="B396" s="2" t="s">
        <v>20</v>
      </c>
      <c r="C396" s="2" t="s">
        <v>21</v>
      </c>
      <c r="D396" s="2" t="s">
        <v>61</v>
      </c>
      <c r="E396" s="39" t="str">
        <f>VLOOKUP($D396,PRECIOS_REFERENCIAS!A$3:D$90,2,FALSE)</f>
        <v>INSTALACION SWITCH SHDSL</v>
      </c>
      <c r="F396" s="3">
        <v>1</v>
      </c>
      <c r="G396" s="2" t="s">
        <v>18</v>
      </c>
      <c r="H396" s="40">
        <f>VLOOKUP($D396,PRECIOS_REFERENCIAS!A$3:D$90,4,FALSE)</f>
        <v>40</v>
      </c>
      <c r="I396" s="6">
        <f>H396*F396</f>
        <v>40</v>
      </c>
    </row>
    <row r="397" spans="1:9" hidden="1" outlineLevel="2">
      <c r="A397" s="23"/>
      <c r="B397" s="2"/>
      <c r="C397" s="7"/>
      <c r="D397" s="2"/>
      <c r="E397" s="5" t="str">
        <f>VLOOKUP($D396,PRECIOS_REFERENCIAS!A$3:D$90,3,FALSE)</f>
        <v>INSTALACIÓN DE ROUTER</v>
      </c>
      <c r="F397" s="3"/>
      <c r="G397" s="2"/>
      <c r="H397" s="40"/>
      <c r="I397" s="6"/>
    </row>
    <row r="398" spans="1:9" hidden="1" outlineLevel="2">
      <c r="A398" s="24" t="s">
        <v>288</v>
      </c>
      <c r="B398" s="2" t="s">
        <v>63</v>
      </c>
      <c r="C398" s="2" t="s">
        <v>16</v>
      </c>
      <c r="D398" s="2" t="s">
        <v>63</v>
      </c>
      <c r="E398" s="39" t="str">
        <f>VLOOKUP($D398,PRECIOS_REFERENCIAS!A$3:D$48,2,FALSE)</f>
        <v>DESCARGADOR DE SOBRETENSIONES LÍNEA SHDSL</v>
      </c>
      <c r="F398" s="3">
        <v>2</v>
      </c>
      <c r="G398" s="2" t="s">
        <v>18</v>
      </c>
      <c r="H398" s="40">
        <f>VLOOKUP($D398,PRECIOS_REFERENCIAS!A$3:D$48,4,FALSE)</f>
        <v>187</v>
      </c>
      <c r="I398" s="6">
        <f>H398*F398</f>
        <v>374</v>
      </c>
    </row>
    <row r="399" spans="1:9" hidden="1" outlineLevel="2">
      <c r="A399" s="23"/>
      <c r="B399" s="2"/>
      <c r="C399" s="2"/>
      <c r="D399" s="2"/>
      <c r="E399" s="5" t="str">
        <f>VLOOKUP($D398,PRECIOS_REFERENCIAS!A$3:D$48,3,FALSE)</f>
        <v>Equipo DT-TELE-SHDSL de Phoenix Contact con 2 puertos para conexión SHDSL</v>
      </c>
      <c r="F399" s="7"/>
      <c r="G399" s="7"/>
      <c r="I399" s="6"/>
    </row>
    <row r="400" spans="1:9" hidden="1" outlineLevel="2">
      <c r="A400" s="24" t="s">
        <v>289</v>
      </c>
      <c r="B400" s="2" t="s">
        <v>20</v>
      </c>
      <c r="C400" s="2" t="s">
        <v>21</v>
      </c>
      <c r="D400" s="2" t="s">
        <v>65</v>
      </c>
      <c r="E400" s="39" t="str">
        <f>VLOOKUP($D400,PRECIOS_REFERENCIAS!A$3:D$90,2,FALSE)</f>
        <v>INSTALACION DESCARGADOR</v>
      </c>
      <c r="F400" s="3">
        <f>F398</f>
        <v>2</v>
      </c>
      <c r="G400" s="2" t="s">
        <v>18</v>
      </c>
      <c r="H400" s="40">
        <f>VLOOKUP($D400,PRECIOS_REFERENCIAS!A$3:D$90,4,FALSE)</f>
        <v>64.403155112394401</v>
      </c>
      <c r="I400" s="6">
        <f>H400*F400</f>
        <v>128.8063102247888</v>
      </c>
    </row>
    <row r="401" spans="1:9" hidden="1" outlineLevel="2">
      <c r="A401" s="23"/>
      <c r="B401" s="2"/>
      <c r="C401" s="2"/>
      <c r="D401" s="2"/>
      <c r="E401" s="5" t="str">
        <f>VLOOKUP($D400,PRECIOS_REFERENCIAS!A$3:D$90,3,FALSE)</f>
        <v>INSTALACIÓN DE PROTECCIÓN CONTRA SOBRETENSIONES</v>
      </c>
      <c r="F401" s="3"/>
      <c r="G401" s="2"/>
      <c r="H401" s="40"/>
      <c r="I401" s="6"/>
    </row>
    <row r="402" spans="1:9" hidden="1" outlineLevel="2">
      <c r="A402" s="24" t="s">
        <v>290</v>
      </c>
      <c r="B402" s="2" t="s">
        <v>75</v>
      </c>
      <c r="C402" s="2" t="s">
        <v>16</v>
      </c>
      <c r="D402" s="2" t="s">
        <v>75</v>
      </c>
      <c r="E402" s="39" t="str">
        <f>VLOOKUP($D402,PRECIOS_REFERENCIAS!A$3:D$90,2,FALSE)</f>
        <v>SUMINISTRO SWITCH 5P</v>
      </c>
      <c r="F402" s="3">
        <v>1</v>
      </c>
      <c r="G402" s="2" t="s">
        <v>18</v>
      </c>
      <c r="H402" s="40">
        <f>VLOOKUP($D402,PRECIOS_REFERENCIAS!A$3:D$90,4,FALSE)</f>
        <v>97.65</v>
      </c>
      <c r="I402" s="6">
        <f>H402*F402</f>
        <v>97.65</v>
      </c>
    </row>
    <row r="403" spans="1:9" hidden="1" outlineLevel="2">
      <c r="A403" s="23"/>
      <c r="B403" s="2"/>
      <c r="C403" s="38"/>
      <c r="D403" s="2"/>
      <c r="E403" s="5" t="str">
        <f>VLOOKUP($D402,PRECIOS_REFERENCIAS!A$3:D$90,3,FALSE)</f>
        <v>SwitchNOGest_5x100TXRJ45 / MCSESU053FN0</v>
      </c>
      <c r="F403" s="7"/>
      <c r="G403" s="7"/>
      <c r="H403" s="40"/>
      <c r="I403" s="6"/>
    </row>
    <row r="404" spans="1:9" hidden="1" outlineLevel="2">
      <c r="A404" s="24" t="s">
        <v>291</v>
      </c>
      <c r="B404" s="2" t="s">
        <v>20</v>
      </c>
      <c r="C404" s="2" t="s">
        <v>21</v>
      </c>
      <c r="D404" s="2" t="s">
        <v>77</v>
      </c>
      <c r="E404" s="39" t="str">
        <f>VLOOKUP($D404,PRECIOS_REFERENCIAS!A$3:D$90,2,FALSE)</f>
        <v>INSTALACION SWITCH</v>
      </c>
      <c r="F404" s="3">
        <f>F402</f>
        <v>1</v>
      </c>
      <c r="G404" s="2" t="s">
        <v>18</v>
      </c>
      <c r="H404" s="40">
        <f>VLOOKUP($D404,PRECIOS_REFERENCIAS!A$3:D$90,4,FALSE)</f>
        <v>40</v>
      </c>
      <c r="I404" s="6">
        <f>H404*F404</f>
        <v>40</v>
      </c>
    </row>
    <row r="405" spans="1:9" hidden="1" outlineLevel="2">
      <c r="A405" s="23"/>
      <c r="B405" s="2"/>
      <c r="C405" s="2"/>
      <c r="D405" s="2"/>
      <c r="E405" s="5" t="str">
        <f>VLOOKUP($D404,PRECIOS_REFERENCIAS!A$3:D$90,3,FALSE)</f>
        <v>INSTALACIÓN DE SWITCH</v>
      </c>
      <c r="F405" s="3"/>
      <c r="G405" s="2"/>
      <c r="I405" s="6"/>
    </row>
    <row r="406" spans="1:9" hidden="1" outlineLevel="2">
      <c r="A406" s="24" t="s">
        <v>292</v>
      </c>
      <c r="B406" s="2" t="s">
        <v>79</v>
      </c>
      <c r="C406" s="2" t="s">
        <v>80</v>
      </c>
      <c r="D406" s="2" t="s">
        <v>81</v>
      </c>
      <c r="E406" s="39" t="str">
        <f>VLOOKUP($D406,PRECIOS_REFERENCIAS!A$3:D$90,2,FALSE)</f>
        <v>PLANIFICACION</v>
      </c>
      <c r="F406" s="3">
        <v>1</v>
      </c>
      <c r="G406" s="2" t="s">
        <v>18</v>
      </c>
      <c r="H406" s="40">
        <f>VLOOKUP($D406,PRECIOS_REFERENCIAS!A$3:D$90,4,FALSE)</f>
        <v>40</v>
      </c>
      <c r="I406" s="6">
        <f>H406*F406</f>
        <v>40</v>
      </c>
    </row>
    <row r="407" spans="1:9" hidden="1" outlineLevel="2">
      <c r="A407" s="23"/>
      <c r="B407" s="2"/>
      <c r="C407" s="2"/>
      <c r="D407" s="2"/>
      <c r="E407" s="5" t="str">
        <f>VLOOKUP($D406,PRECIOS_REFERENCIAS!A$3:D$90,3,FALSE)</f>
        <v>PLANIFICACIÓN DE LOS TRABAJOS Y DESCARGA EN LOCAL DEL PROGRAMA DEL PLC</v>
      </c>
      <c r="F407" s="3"/>
      <c r="G407" s="2"/>
      <c r="H407" s="40"/>
      <c r="I407" s="6"/>
    </row>
    <row r="408" spans="1:9" hidden="1" outlineLevel="2">
      <c r="A408" s="24" t="s">
        <v>293</v>
      </c>
      <c r="B408" s="2" t="s">
        <v>83</v>
      </c>
      <c r="C408" s="2" t="s">
        <v>80</v>
      </c>
      <c r="D408" s="2" t="s">
        <v>80</v>
      </c>
      <c r="E408" s="39" t="str">
        <f>VLOOKUP($D408,PRECIOS_REFERENCIAS!A$3:D$90,2,FALSE)</f>
        <v>INGENIERIA + ESQUEMAS</v>
      </c>
      <c r="F408" s="3">
        <v>1</v>
      </c>
      <c r="G408" s="2" t="s">
        <v>18</v>
      </c>
      <c r="H408" s="40">
        <f>VLOOKUP($D408,PRECIOS_REFERENCIAS!A$3:D$90,4,FALSE)</f>
        <v>300</v>
      </c>
      <c r="I408" s="6">
        <f>H408*F408</f>
        <v>300</v>
      </c>
    </row>
    <row r="409" spans="1:9" ht="27.75" hidden="1" customHeight="1" outlineLevel="2">
      <c r="A409" s="23"/>
      <c r="B409" s="2"/>
      <c r="C409" s="2"/>
      <c r="D409" s="2"/>
      <c r="E409" s="5" t="str">
        <f>VLOOKUP($D408,PRECIOS_REFERENCIAS!A$3:D$90,3,FALSE)</f>
        <v>INGENIERÍA DE ACTUALIZACIÓN DE ESQUEMAS ELÉCTRICOS. INCLUYE LA REVISIÓN LOCAL DE LOS CUADROS Y ELEMENTOS DE CONTROL, ASÍ COMO LA COMPROBACIÓN DE LAS SEÑALES DE CONTROL.</v>
      </c>
      <c r="F409" s="3"/>
      <c r="G409" s="2"/>
      <c r="H409" s="40"/>
      <c r="I409" s="6"/>
    </row>
    <row r="410" spans="1:9" ht="22.5" hidden="1" outlineLevel="2">
      <c r="A410" s="24" t="s">
        <v>294</v>
      </c>
      <c r="B410" s="2" t="s">
        <v>88</v>
      </c>
      <c r="C410" s="2" t="s">
        <v>80</v>
      </c>
      <c r="D410" s="2" t="s">
        <v>89</v>
      </c>
      <c r="E410" s="39" t="str">
        <f>CONCATENATE(VLOOKUP($D410,PRECIOS_REFERENCIAS!A$3:D$90,2,FALSE), " - se ha incluido un 30% adicional de programación por la comunicación con el PLC de Galdos del sistema de Ibaieder")</f>
        <v>PROGRAMA PLC NUEVO - se ha incluido un 30% adicional de programación por la comunicación con el PLC de Galdos del sistema de Ibaieder</v>
      </c>
      <c r="F410" s="3">
        <v>1.3</v>
      </c>
      <c r="G410" s="2" t="s">
        <v>18</v>
      </c>
      <c r="H410" s="40">
        <f>VLOOKUP($D410,PRECIOS_REFERENCIAS!A$3:D$90,4,FALSE)</f>
        <v>407.75660964439658</v>
      </c>
      <c r="I410" s="6">
        <f>H410*F410</f>
        <v>530.08359253771562</v>
      </c>
    </row>
    <row r="411" spans="1:9" hidden="1" outlineLevel="2">
      <c r="A411" s="23"/>
      <c r="B411" s="2"/>
      <c r="C411" s="2"/>
      <c r="D411" s="2"/>
      <c r="E411" s="5" t="str">
        <f>VLOOKUP($D410,PRECIOS_REFERENCIAS!A$3:D$90,3,FALSE)</f>
        <v>MIGRACION DEL PROGRAMA ACTUAL A LA NUEVA PLATAFORMA DE PROGRAMACION</v>
      </c>
      <c r="I411" s="6"/>
    </row>
    <row r="412" spans="1:9" hidden="1" outlineLevel="2">
      <c r="A412" s="24" t="s">
        <v>295</v>
      </c>
      <c r="B412" s="2" t="s">
        <v>94</v>
      </c>
      <c r="C412" s="2" t="s">
        <v>80</v>
      </c>
      <c r="D412" s="2" t="s">
        <v>95</v>
      </c>
      <c r="E412" s="39" t="str">
        <f>CONCATENATE(VLOOKUP($D412,PRECIOS_REFERENCIAS!A$3:D$90,2,FALSE), " - se ha incluido un 30% adicional de programación por la comunicación con el PLC de Galdos del sistema de Ibaieder")</f>
        <v>PEM REMOTA - se ha incluido un 30% adicional de programación por la comunicación con el PLC de Galdos del sistema de Ibaieder</v>
      </c>
      <c r="F412" s="3">
        <v>1.3</v>
      </c>
      <c r="G412" s="2" t="s">
        <v>18</v>
      </c>
      <c r="H412" s="40">
        <f>VLOOKUP($D412,PRECIOS_REFERENCIAS!A$3:D$90,4,FALSE)</f>
        <v>851.7</v>
      </c>
      <c r="I412" s="6">
        <f>H412*F412</f>
        <v>1107.21</v>
      </c>
    </row>
    <row r="413" spans="1:9" hidden="1" outlineLevel="2">
      <c r="A413" s="23"/>
      <c r="B413" s="2"/>
      <c r="C413" s="2"/>
      <c r="D413" s="2"/>
      <c r="E413" s="5" t="str">
        <f>VLOOKUP($D412,PRECIOS_REFERENCIAS!A$3:D$90,3,FALSE)</f>
        <v>PUESTA EN MARCHA DEL PROGRAMA DE CONTROL LOCAL</v>
      </c>
      <c r="F413" s="3"/>
      <c r="G413" s="2"/>
      <c r="H413" s="40"/>
      <c r="I413" s="6"/>
    </row>
    <row r="414" spans="1:9" hidden="1" outlineLevel="2">
      <c r="A414" s="24" t="s">
        <v>296</v>
      </c>
      <c r="B414" s="2" t="s">
        <v>97</v>
      </c>
      <c r="C414" s="2" t="s">
        <v>80</v>
      </c>
      <c r="D414" s="2" t="s">
        <v>98</v>
      </c>
      <c r="E414" s="39" t="str">
        <f>VLOOKUP($D414,PRECIOS_REFERENCIAS!A$3:D$90,2,FALSE)</f>
        <v>REVISION SCADA</v>
      </c>
      <c r="F414" s="3">
        <v>1</v>
      </c>
      <c r="G414" s="2" t="s">
        <v>18</v>
      </c>
      <c r="H414" s="40">
        <f>VLOOKUP($D414,PRECIOS_REFERENCIAS!A$3:D$90,4,FALSE)</f>
        <v>60</v>
      </c>
      <c r="I414" s="6">
        <f>H414*F414</f>
        <v>60</v>
      </c>
    </row>
    <row r="415" spans="1:9" hidden="1" outlineLevel="2">
      <c r="A415" s="23"/>
      <c r="B415" s="2"/>
      <c r="C415" s="2"/>
      <c r="D415" s="2"/>
      <c r="E415" s="5" t="str">
        <f>VLOOKUP($D414,PRECIOS_REFERENCIAS!A$3:D$90,3,FALSE)</f>
        <v>REVISIÓN DEL PROGRAMA DE SUPERVISIÓN SCADA</v>
      </c>
      <c r="I415" s="6"/>
    </row>
    <row r="416" spans="1:9" hidden="1" outlineLevel="2">
      <c r="A416" s="24"/>
      <c r="B416" s="2"/>
      <c r="C416" s="2" t="s">
        <v>16</v>
      </c>
      <c r="D416" s="2"/>
      <c r="E416" s="76" t="str">
        <f>CONCATENATE(E361," - TOTAL HARDWARE")</f>
        <v>ER4 DERIVACION GALDOS - TOTAL HARDWARE</v>
      </c>
      <c r="F416" s="74"/>
      <c r="G416" s="74"/>
      <c r="H416" s="74"/>
      <c r="I416" s="75">
        <f>I362+I366+I370+I372+I374+I378+I386+I390+I394+I398+I402</f>
        <v>3595.2406182073296</v>
      </c>
    </row>
    <row r="417" spans="1:10" hidden="1" outlineLevel="2">
      <c r="A417" s="23"/>
      <c r="B417" s="2"/>
      <c r="C417" s="2" t="s">
        <v>21</v>
      </c>
      <c r="D417" s="2"/>
      <c r="E417" s="76" t="str">
        <f>CONCATENATE(E361," - TOTAL INSTALACION")</f>
        <v>ER4 DERIVACION GALDOS - TOTAL INSTALACION</v>
      </c>
      <c r="F417" s="74"/>
      <c r="G417" s="74"/>
      <c r="H417" s="74"/>
      <c r="I417" s="75">
        <f>I364+I368+I376+I380+I382+I384+I388+I392+I396+I400+I404</f>
        <v>1417.074263310026</v>
      </c>
    </row>
    <row r="418" spans="1:10" hidden="1" outlineLevel="2">
      <c r="A418" s="23"/>
      <c r="B418" s="2"/>
      <c r="C418" s="2" t="s">
        <v>80</v>
      </c>
      <c r="D418" s="2"/>
      <c r="E418" s="76" t="str">
        <f>CONCATENATE(E361," - TOTAL INGENIERIA")</f>
        <v>ER4 DERIVACION GALDOS - TOTAL INGENIERIA</v>
      </c>
      <c r="F418" s="74"/>
      <c r="G418" s="74"/>
      <c r="H418" s="74"/>
      <c r="I418" s="75">
        <f>I406+I408+I410+I412+I414</f>
        <v>2037.2935925377155</v>
      </c>
      <c r="J418" s="22">
        <f>SUM(I416:I418)</f>
        <v>7049.6084740550705</v>
      </c>
    </row>
    <row r="419" spans="1:10" hidden="1" outlineLevel="2">
      <c r="E419" s="41" t="str">
        <f>CONCATENATE("TOTAL ",A361)</f>
        <v>TOTAL  SUBCAPÍTULO 01.07</v>
      </c>
      <c r="F419" s="41"/>
      <c r="G419" s="41"/>
      <c r="H419" s="41"/>
      <c r="I419" s="42">
        <f>SUM(I362:I415)</f>
        <v>7049.6084740550714</v>
      </c>
    </row>
    <row r="420" spans="1:10" hidden="1" outlineLevel="1">
      <c r="A420" s="44" t="s">
        <v>297</v>
      </c>
      <c r="B420" s="44"/>
      <c r="C420" s="44"/>
      <c r="D420" s="44"/>
      <c r="E420" s="43" t="s">
        <v>298</v>
      </c>
      <c r="F420" s="44"/>
      <c r="G420" s="44" t="s">
        <v>11</v>
      </c>
      <c r="H420" s="45"/>
      <c r="I420" s="64">
        <f>I498</f>
        <v>8146.2240147394268</v>
      </c>
    </row>
    <row r="421" spans="1:10" hidden="1" outlineLevel="2">
      <c r="A421" s="24" t="s">
        <v>299</v>
      </c>
      <c r="B421" s="2" t="s">
        <v>15</v>
      </c>
      <c r="C421" s="2" t="s">
        <v>16</v>
      </c>
      <c r="D421" s="2" t="s">
        <v>15</v>
      </c>
      <c r="E421" s="39" t="str">
        <f>VLOOKUP($D421,PRECIOS_REFERENCIAS!A$3:D$90,2,FALSE)</f>
        <v xml:space="preserve">CARRIL DIN </v>
      </c>
      <c r="F421" s="3">
        <v>1</v>
      </c>
      <c r="G421" s="2" t="s">
        <v>18</v>
      </c>
      <c r="H421" s="40">
        <f>VLOOKUP($D421,PRECIOS_REFERENCIAS!A$3:D$90,4,FALSE)</f>
        <v>2.6481182073295662</v>
      </c>
      <c r="I421" s="6">
        <f>H421*F421</f>
        <v>2.6481182073295662</v>
      </c>
    </row>
    <row r="422" spans="1:10" hidden="1" outlineLevel="2">
      <c r="A422" s="23"/>
      <c r="B422" s="2"/>
      <c r="C422" s="2"/>
      <c r="D422" s="2"/>
      <c r="E422" s="5" t="str">
        <f>VLOOKUP($D421,PRECIOS_REFERENCIAS!A$3:D$90,3,FALSE)</f>
        <v>CARRIL DIN PARA REMOTA S7-1200</v>
      </c>
      <c r="F422" s="3"/>
      <c r="G422" s="2"/>
      <c r="H422" s="40"/>
      <c r="I422" s="6"/>
    </row>
    <row r="423" spans="1:10" hidden="1" outlineLevel="2">
      <c r="A423" s="24" t="s">
        <v>300</v>
      </c>
      <c r="B423" s="2" t="s">
        <v>20</v>
      </c>
      <c r="C423" s="2" t="s">
        <v>21</v>
      </c>
      <c r="D423" s="2" t="s">
        <v>22</v>
      </c>
      <c r="E423" s="39" t="str">
        <f>VLOOKUP($D423,PRECIOS_REFERENCIAS!A$3:D$90,2,FALSE)</f>
        <v xml:space="preserve">INSTALACION CARRIL DIN </v>
      </c>
      <c r="F423" s="3">
        <v>1</v>
      </c>
      <c r="G423" s="2" t="s">
        <v>18</v>
      </c>
      <c r="H423" s="40">
        <f>VLOOKUP($D423,PRECIOS_REFERENCIAS!A$3:D$90,4,FALSE)</f>
        <v>35.402252939916011</v>
      </c>
      <c r="I423" s="6">
        <f t="shared" ref="I423" si="0">H423*F423</f>
        <v>35.402252939916011</v>
      </c>
    </row>
    <row r="424" spans="1:10" hidden="1" outlineLevel="2">
      <c r="A424" s="23"/>
      <c r="B424" s="2"/>
      <c r="C424" s="2"/>
      <c r="D424" s="2"/>
      <c r="E424" s="5" t="str">
        <f>VLOOKUP($D423,PRECIOS_REFERENCIAS!A$3:D$90,3,FALSE)</f>
        <v>SUSTITUCIÓN DE PERFIL SOPORTE DE PLC EXISTENTE POR NUEVO PERFIL DE PLC DEFINIDO, DENTRO DEL ARMARIO ELÉCTRICO ACTUAL.</v>
      </c>
      <c r="F424" s="3"/>
      <c r="G424" s="2"/>
      <c r="H424" s="40"/>
      <c r="I424" s="6"/>
    </row>
    <row r="425" spans="1:10" hidden="1" outlineLevel="2">
      <c r="A425" s="24" t="s">
        <v>301</v>
      </c>
      <c r="B425" s="2" t="s">
        <v>104</v>
      </c>
      <c r="C425" s="2" t="s">
        <v>16</v>
      </c>
      <c r="D425" s="2" t="s">
        <v>104</v>
      </c>
      <c r="E425" s="39" t="str">
        <f>VLOOKUP($D425,PRECIOS_REFERENCIAS!A$3:D$48,2,FALSE)</f>
        <v>SUMINISTRO DE CPU REMOTAS</v>
      </c>
      <c r="F425" s="3">
        <v>1</v>
      </c>
      <c r="G425" s="2" t="s">
        <v>18</v>
      </c>
      <c r="H425" s="40">
        <f>VLOOKUP($D425,PRECIOS_REFERENCIAS!A$3:D$48,4,FALSE)</f>
        <v>416.28749999999997</v>
      </c>
      <c r="I425" s="6">
        <f t="shared" ref="I425" si="1">H425*F425</f>
        <v>416.28749999999997</v>
      </c>
    </row>
    <row r="426" spans="1:10" hidden="1" outlineLevel="2">
      <c r="A426" s="23"/>
      <c r="B426" s="38"/>
      <c r="C426" s="38"/>
      <c r="D426" s="38"/>
      <c r="E426" s="5" t="str">
        <f>VLOOKUP($D425,PRECIOS_REFERENCIAS!A$3:D$48,3,FALSE)</f>
        <v>SIMATIC S7-1200 - CPU 1214C //6ES7214-1AG40-0XB0</v>
      </c>
      <c r="F426" s="7"/>
      <c r="G426" s="7"/>
      <c r="I426" s="6"/>
    </row>
    <row r="427" spans="1:10" hidden="1" outlineLevel="2">
      <c r="A427" s="24" t="s">
        <v>302</v>
      </c>
      <c r="B427" s="2" t="s">
        <v>20</v>
      </c>
      <c r="C427" s="2" t="s">
        <v>21</v>
      </c>
      <c r="D427" s="2" t="s">
        <v>28</v>
      </c>
      <c r="E427" s="39" t="str">
        <f>VLOOKUP($D427,PRECIOS_REFERENCIAS!A$3:D$90,2,FALSE)</f>
        <v>INSTALACION CPU</v>
      </c>
      <c r="F427" s="3">
        <v>1</v>
      </c>
      <c r="G427" s="2" t="s">
        <v>18</v>
      </c>
      <c r="H427" s="40">
        <f>VLOOKUP($D427,PRECIOS_REFERENCIAS!A$3:D$90,4,FALSE)</f>
        <v>123.90076030798227</v>
      </c>
      <c r="I427" s="6">
        <f t="shared" ref="I427" si="2">H427*F427</f>
        <v>123.90076030798227</v>
      </c>
    </row>
    <row r="428" spans="1:10" hidden="1" outlineLevel="2">
      <c r="A428" s="23"/>
      <c r="B428" s="2"/>
      <c r="C428" s="2"/>
      <c r="D428" s="2"/>
      <c r="E428" s="5" t="str">
        <f>VLOOKUP($D427,PRECIOS_REFERENCIAS!A$3:D$90,3,FALSE)</f>
        <v>SUSTITUCIÓN DE CPU DE PLC EXISTENTE POR NUEVA CPU DE PLC DEFINIDA</v>
      </c>
      <c r="F428" s="3"/>
      <c r="G428" s="2"/>
      <c r="H428" s="40"/>
      <c r="I428" s="6"/>
    </row>
    <row r="429" spans="1:10" hidden="1" outlineLevel="2">
      <c r="A429" s="24" t="s">
        <v>303</v>
      </c>
      <c r="B429" s="2" t="s">
        <v>153</v>
      </c>
      <c r="C429" s="2" t="s">
        <v>16</v>
      </c>
      <c r="D429" s="2" t="s">
        <v>153</v>
      </c>
      <c r="E429" s="39" t="str">
        <f>VLOOKUP($D429,PRECIOS_REFERENCIAS!A$3:D$48,2,FALSE)</f>
        <v>SUMINISTRO DE FUENTE ALIMENTACIÓN CPU REMOTAS</v>
      </c>
      <c r="F429" s="3">
        <v>1</v>
      </c>
      <c r="G429" s="2" t="s">
        <v>18</v>
      </c>
      <c r="H429" s="40">
        <f>VLOOKUP($D429,PRECIOS_REFERENCIAS!A$3:D$48,4,FALSE)</f>
        <v>180.01500000000001</v>
      </c>
      <c r="I429" s="6">
        <f t="shared" ref="I429" si="3">H429*F429</f>
        <v>180.01500000000001</v>
      </c>
    </row>
    <row r="430" spans="1:10" hidden="1" outlineLevel="2">
      <c r="A430" s="23"/>
      <c r="B430" s="7"/>
      <c r="C430" s="7"/>
      <c r="D430" s="7"/>
      <c r="E430" s="5" t="str">
        <f>VLOOKUP($D429,PRECIOS_REFERENCIAS!A$3:D$48,3,FALSE)</f>
        <v>SITOP PSU6200 24 V/10 A // 6EP3334-7SB00-3AX0    </v>
      </c>
      <c r="F430" s="7"/>
      <c r="G430" s="7"/>
      <c r="I430" s="6"/>
    </row>
    <row r="431" spans="1:10" hidden="1" outlineLevel="2">
      <c r="A431" s="24" t="s">
        <v>304</v>
      </c>
      <c r="B431" s="2" t="s">
        <v>155</v>
      </c>
      <c r="C431" s="2" t="s">
        <v>16</v>
      </c>
      <c r="D431" s="2" t="s">
        <v>156</v>
      </c>
      <c r="E431" s="39" t="str">
        <f>VLOOKUP($D431,PRECIOS_REFERENCIAS!A$3:D$98,2,FALSE)</f>
        <v>TARJETA DE MEMORIA S7-1200</v>
      </c>
      <c r="F431" s="3">
        <v>1</v>
      </c>
      <c r="G431" s="2" t="s">
        <v>18</v>
      </c>
      <c r="H431" s="40">
        <f>VLOOKUP($D431,PRECIOS_REFERENCIAS!A$3:D$100,4,FALSE)</f>
        <v>263.13750000000005</v>
      </c>
      <c r="I431" s="6">
        <f>H431*F431</f>
        <v>263.13750000000005</v>
      </c>
    </row>
    <row r="432" spans="1:10" hidden="1" outlineLevel="2">
      <c r="A432" s="23"/>
      <c r="B432" s="7"/>
      <c r="C432" s="7"/>
      <c r="D432" s="7"/>
      <c r="E432" s="5" t="str">
        <f>VLOOKUP($D431,PRECIOS_REFERENCIAS!A$3:D$98,3,FALSE)</f>
        <v>SIMATIC S7 Memory Card, 24 MB //6ES7954-8LF03-0AA0</v>
      </c>
      <c r="F432" s="7"/>
      <c r="G432" s="7"/>
      <c r="I432" s="6"/>
    </row>
    <row r="433" spans="1:9" hidden="1" outlineLevel="2">
      <c r="A433" s="24" t="s">
        <v>305</v>
      </c>
      <c r="B433" s="2" t="s">
        <v>158</v>
      </c>
      <c r="C433" s="2" t="s">
        <v>16</v>
      </c>
      <c r="D433" s="2" t="s">
        <v>159</v>
      </c>
      <c r="E433" s="39" t="str">
        <f>VLOOKUP($D433,PRECIOS_REFERENCIAS!A$3:D$90,2,FALSE)</f>
        <v>TARJETA COMUNICACIONES  S7-1200</v>
      </c>
      <c r="F433" s="3">
        <v>1</v>
      </c>
      <c r="G433" s="2" t="s">
        <v>18</v>
      </c>
      <c r="H433" s="40">
        <f>VLOOKUP($D433,PRECIOS_REFERENCIAS!A$3:D$90,4,FALSE)</f>
        <v>518.66999999999996</v>
      </c>
      <c r="I433" s="6">
        <f>H433*F433</f>
        <v>518.66999999999996</v>
      </c>
    </row>
    <row r="434" spans="1:9" hidden="1" outlineLevel="2">
      <c r="A434" s="23"/>
      <c r="B434" s="2"/>
      <c r="C434" s="38"/>
      <c r="D434" s="2"/>
      <c r="E434" s="5" t="str">
        <f>VLOOKUP($D433,PRECIOS_REFERENCIAS!A$3:D$90,3,FALSE)</f>
        <v>SIMATIC S7-1200  Modulo Ethernet CP 1243-1  //6GK7243-1BX30-0XE0</v>
      </c>
      <c r="F434" s="3"/>
      <c r="G434" s="2"/>
      <c r="H434" s="40"/>
      <c r="I434" s="6"/>
    </row>
    <row r="435" spans="1:9" hidden="1" outlineLevel="2">
      <c r="A435" s="24" t="s">
        <v>306</v>
      </c>
      <c r="B435" s="2" t="s">
        <v>20</v>
      </c>
      <c r="C435" s="2" t="s">
        <v>21</v>
      </c>
      <c r="D435" s="2" t="s">
        <v>161</v>
      </c>
      <c r="E435" s="39" t="str">
        <f>VLOOKUP($D435,PRECIOS_REFERENCIAS!A$3:D$90,2,FALSE)</f>
        <v>INSTALACION COM ADICIONAL</v>
      </c>
      <c r="F435" s="3">
        <v>1</v>
      </c>
      <c r="G435" s="2" t="s">
        <v>18</v>
      </c>
      <c r="H435" s="40">
        <f>VLOOKUP($D435,PRECIOS_REFERENCIAS!A$3:D$90,4,FALSE)</f>
        <v>40</v>
      </c>
      <c r="I435" s="6">
        <f>H435*F435</f>
        <v>40</v>
      </c>
    </row>
    <row r="436" spans="1:9" hidden="1" outlineLevel="2">
      <c r="A436" s="23"/>
      <c r="B436" s="7"/>
      <c r="C436" s="7"/>
      <c r="D436" s="7"/>
      <c r="E436" s="5" t="str">
        <f>VLOOKUP($D435,PRECIOS_REFERENCIAS!A$3:D$90,3,FALSE)</f>
        <v xml:space="preserve">INSTALACION TARJETA COMUNICACIONES ADICIONAL </v>
      </c>
      <c r="F436" s="7"/>
      <c r="G436" s="7"/>
      <c r="I436" s="6"/>
    </row>
    <row r="437" spans="1:9" hidden="1" outlineLevel="2">
      <c r="A437" s="24" t="s">
        <v>307</v>
      </c>
      <c r="B437" s="2" t="s">
        <v>196</v>
      </c>
      <c r="C437" s="2" t="s">
        <v>16</v>
      </c>
      <c r="D437" s="2" t="s">
        <v>197</v>
      </c>
      <c r="E437" s="39" t="str">
        <f>VLOOKUP($D437,PRECIOS_REFERENCIAS!A$3:D$48,2,FALSE)</f>
        <v>TARJETA COMUNICACIÓN RS485 S7-1200</v>
      </c>
      <c r="F437" s="3">
        <v>1</v>
      </c>
      <c r="G437" s="2" t="s">
        <v>18</v>
      </c>
      <c r="H437" s="40">
        <f>VLOOKUP($D437,PRECIOS_REFERENCIAS!A$3:D$48,4,FALSE)</f>
        <v>130.19999999999999</v>
      </c>
      <c r="I437" s="6">
        <f>H437*F437</f>
        <v>130.19999999999999</v>
      </c>
    </row>
    <row r="438" spans="1:9" hidden="1" outlineLevel="2">
      <c r="A438" s="23"/>
      <c r="B438" s="7"/>
      <c r="C438" s="38"/>
      <c r="D438" s="7"/>
      <c r="E438" s="5" t="str">
        <f>VLOOKUP($D437,PRECIOS_REFERENCIAS!A$3:D$48,3,FALSE)</f>
        <v>Modul de comunic. CM 1241, RS422/485  //6ES7241-1CH32-0XB0</v>
      </c>
      <c r="F438" s="7"/>
      <c r="G438" s="7"/>
      <c r="I438" s="6"/>
    </row>
    <row r="439" spans="1:9" hidden="1" outlineLevel="2">
      <c r="A439" s="24" t="s">
        <v>308</v>
      </c>
      <c r="B439" s="2" t="s">
        <v>20</v>
      </c>
      <c r="C439" s="2" t="s">
        <v>21</v>
      </c>
      <c r="D439" s="2" t="s">
        <v>199</v>
      </c>
      <c r="E439" s="39" t="str">
        <f>VLOOKUP($D439,PRECIOS_REFERENCIAS!A$3:D$90,2,FALSE)</f>
        <v>INSTALACION CABLEADO MODBUS CAUDALIMETRO</v>
      </c>
      <c r="F439" s="3">
        <v>1</v>
      </c>
      <c r="G439" s="2" t="s">
        <v>18</v>
      </c>
      <c r="H439" s="40">
        <f>VLOOKUP($D439,PRECIOS_REFERENCIAS!A$3:D$90,4,FALSE)</f>
        <v>40</v>
      </c>
      <c r="I439" s="6">
        <f>H439*F439</f>
        <v>40</v>
      </c>
    </row>
    <row r="440" spans="1:9" hidden="1" outlineLevel="2">
      <c r="A440" s="23"/>
      <c r="B440" s="2"/>
      <c r="C440" s="2"/>
      <c r="D440" s="2"/>
      <c r="E440" s="5" t="str">
        <f>VLOOKUP($D439,PRECIOS_REFERENCIAS!A$3:D$90,3,FALSE)</f>
        <v>INSTALACIÓN DEL CABLEADO MODUS PARA CADA CAUDALIMETRO CON COMUNICACIÓN MODBUS</v>
      </c>
      <c r="F440" s="3"/>
      <c r="G440" s="2"/>
      <c r="H440" s="40"/>
      <c r="I440" s="6"/>
    </row>
    <row r="441" spans="1:9" hidden="1" outlineLevel="2">
      <c r="A441" s="24" t="s">
        <v>309</v>
      </c>
      <c r="B441" s="2" t="s">
        <v>201</v>
      </c>
      <c r="C441" s="2" t="s">
        <v>16</v>
      </c>
      <c r="D441" s="2" t="s">
        <v>202</v>
      </c>
      <c r="E441" s="39" t="str">
        <f>VLOOKUP($D441,PRECIOS_REFERENCIAS!A$3:D$48,2,FALSE)</f>
        <v>TARJETA COMUNICACIÓN MODBUS CAUDALIMETRO</v>
      </c>
      <c r="F441" s="3">
        <f>F439</f>
        <v>1</v>
      </c>
      <c r="G441" s="2" t="s">
        <v>18</v>
      </c>
      <c r="H441" s="40">
        <f>VLOOKUP($D441,PRECIOS_REFERENCIAS!A$3:D$48,4,FALSE)</f>
        <v>183.48750000000001</v>
      </c>
      <c r="I441" s="6">
        <f>H441*F441</f>
        <v>183.48750000000001</v>
      </c>
    </row>
    <row r="442" spans="1:9" hidden="1" outlineLevel="2">
      <c r="A442" s="23"/>
      <c r="B442" s="7"/>
      <c r="C442" s="38"/>
      <c r="D442" s="7"/>
      <c r="E442" s="5" t="str">
        <f>VLOOKUP($D441,PRECIOS_REFERENCIAS!A$3:D$48,3,FALSE)</f>
        <v>TARJETA MODBUS RTU/RS485 para caudalímetro MAG 6000 // FDK:085U0234</v>
      </c>
      <c r="F442" s="7"/>
      <c r="G442" s="7"/>
      <c r="I442" s="6"/>
    </row>
    <row r="443" spans="1:9" hidden="1" outlineLevel="2">
      <c r="A443" s="24" t="s">
        <v>310</v>
      </c>
      <c r="B443" s="2" t="s">
        <v>20</v>
      </c>
      <c r="C443" s="2" t="s">
        <v>21</v>
      </c>
      <c r="D443" s="2" t="s">
        <v>204</v>
      </c>
      <c r="E443" s="39" t="str">
        <f>VLOOKUP($D443,PRECIOS_REFERENCIAS!A$3:D$90,2,FALSE)</f>
        <v>INSTALACION TARJETA MODBUS CAUDALIMETRO</v>
      </c>
      <c r="F443" s="3">
        <f>F441</f>
        <v>1</v>
      </c>
      <c r="G443" s="2" t="s">
        <v>18</v>
      </c>
      <c r="H443" s="40">
        <f>VLOOKUP($D443,PRECIOS_REFERENCIAS!A$3:D$90,4,FALSE)</f>
        <v>40</v>
      </c>
      <c r="I443" s="6">
        <f>H443*F443</f>
        <v>40</v>
      </c>
    </row>
    <row r="444" spans="1:9" hidden="1" outlineLevel="2">
      <c r="A444" s="23"/>
      <c r="B444" s="2"/>
      <c r="C444" s="2"/>
      <c r="D444" s="2"/>
      <c r="E444" s="5" t="str">
        <f>VLOOKUP($D443,PRECIOS_REFERENCIAS!A$3:D$90,3,FALSE)</f>
        <v>INSTALACIÓN DE LA TARJETA DE MODBUS EN EL CAUDALIMETRO</v>
      </c>
      <c r="F444" s="3"/>
      <c r="G444" s="2"/>
      <c r="H444" s="40"/>
      <c r="I444" s="6"/>
    </row>
    <row r="445" spans="1:9" hidden="1" outlineLevel="2">
      <c r="A445" s="24" t="s">
        <v>311</v>
      </c>
      <c r="B445" s="2" t="s">
        <v>108</v>
      </c>
      <c r="C445" s="2" t="s">
        <v>16</v>
      </c>
      <c r="D445" s="2" t="s">
        <v>108</v>
      </c>
      <c r="E445" s="39" t="str">
        <f>VLOOKUP($D445,PRECIOS_REFERENCIAS!A$3:D$48,2,FALSE)</f>
        <v>SUMINISTRO MÓDULO DE 16 ENTRADAS DIGITALES</v>
      </c>
      <c r="F445" s="3">
        <v>1</v>
      </c>
      <c r="G445" s="2" t="s">
        <v>18</v>
      </c>
      <c r="H445" s="40">
        <f>VLOOKUP($D445,PRECIOS_REFERENCIAS!A$3:D$48,4,FALSE)</f>
        <v>177.54749999999999</v>
      </c>
      <c r="I445" s="6">
        <f t="shared" ref="I445" si="4">H445*F445</f>
        <v>177.54749999999999</v>
      </c>
    </row>
    <row r="446" spans="1:9" hidden="1" outlineLevel="2">
      <c r="A446" s="23"/>
      <c r="B446" s="7"/>
      <c r="C446" s="7"/>
      <c r="D446" s="7"/>
      <c r="E446" s="5" t="str">
        <f>VLOOKUP($D445,PRECIOS_REFERENCIAS!A$3:D$48,3,FALSE)</f>
        <v xml:space="preserve">SIMATIC S7-1200,  Módulo SM1221 //6ES7221-1BH32-0XB0 </v>
      </c>
      <c r="F446" s="7"/>
      <c r="G446" s="7"/>
      <c r="I446" s="6"/>
    </row>
    <row r="447" spans="1:9" hidden="1" outlineLevel="2">
      <c r="A447" s="24" t="s">
        <v>312</v>
      </c>
      <c r="B447" s="2" t="s">
        <v>20</v>
      </c>
      <c r="C447" s="2" t="s">
        <v>21</v>
      </c>
      <c r="D447" s="2" t="s">
        <v>35</v>
      </c>
      <c r="E447" s="39" t="str">
        <f>VLOOKUP($D447,PRECIOS_REFERENCIAS!A$3:D$90,2,FALSE)</f>
        <v>INSTALACION ED</v>
      </c>
      <c r="F447" s="3">
        <v>2</v>
      </c>
      <c r="G447" s="2" t="s">
        <v>18</v>
      </c>
      <c r="H447" s="40">
        <f>VLOOKUP($D447,PRECIOS_REFERENCIAS!A$3:D$90,4,FALSE)</f>
        <v>161.97310014887609</v>
      </c>
      <c r="I447" s="6">
        <f t="shared" ref="I447" si="5">H447*F447</f>
        <v>323.94620029775217</v>
      </c>
    </row>
    <row r="448" spans="1:9" hidden="1" outlineLevel="2">
      <c r="A448" s="23"/>
      <c r="B448" s="2"/>
      <c r="C448" s="2"/>
      <c r="D448" s="2"/>
      <c r="E448" s="5" t="str">
        <f>VLOOKUP($D447,PRECIOS_REFERENCIAS!A$3:D$90,3,FALSE)</f>
        <v>SUSTITUCIÓN DE MÓDULO DE E/S DIGITALES DE PLC EXISTENTE POR NUEVO MÓDULO DE PLC DEFINIDO. ENTRADA DIGITAL 16</v>
      </c>
      <c r="F448" s="3"/>
      <c r="G448" s="2"/>
      <c r="H448" s="40"/>
      <c r="I448" s="6"/>
    </row>
    <row r="449" spans="1:9" hidden="1" outlineLevel="2">
      <c r="A449" s="24" t="s">
        <v>313</v>
      </c>
      <c r="B449" s="2" t="s">
        <v>165</v>
      </c>
      <c r="C449" s="2" t="s">
        <v>16</v>
      </c>
      <c r="D449" s="2" t="s">
        <v>165</v>
      </c>
      <c r="E449" s="39" t="str">
        <f>VLOOKUP($D449,PRECIOS_REFERENCIAS!A$3:D$48,2,FALSE)</f>
        <v>SUMINISTRO MÓDULO DE 16 SALIDAS DIGITALES</v>
      </c>
      <c r="F449" s="3">
        <v>1</v>
      </c>
      <c r="G449" s="2" t="s">
        <v>18</v>
      </c>
      <c r="H449" s="40">
        <f>VLOOKUP($D449,PRECIOS_REFERENCIAS!A$3:D$48,4,FALSE)</f>
        <v>177.54749999999999</v>
      </c>
      <c r="I449" s="6">
        <f t="shared" ref="I449" si="6">H449*F449</f>
        <v>177.54749999999999</v>
      </c>
    </row>
    <row r="450" spans="1:9" hidden="1" outlineLevel="2">
      <c r="A450" s="23"/>
      <c r="B450" s="7"/>
      <c r="C450" s="7"/>
      <c r="D450" s="7"/>
      <c r="E450" s="5" t="str">
        <f>VLOOKUP($D449,PRECIOS_REFERENCIAS!A$3:D$48,3,FALSE)</f>
        <v xml:space="preserve">SIMATIC S7-1200,  Módulo SM1222 //6ES7222-1BH32-0XB0 </v>
      </c>
      <c r="F450" s="7"/>
      <c r="G450" s="7"/>
      <c r="I450" s="6"/>
    </row>
    <row r="451" spans="1:9" hidden="1" outlineLevel="2">
      <c r="A451" s="24" t="s">
        <v>314</v>
      </c>
      <c r="B451" s="2" t="s">
        <v>20</v>
      </c>
      <c r="C451" s="2" t="s">
        <v>21</v>
      </c>
      <c r="D451" s="2" t="s">
        <v>41</v>
      </c>
      <c r="E451" s="39" t="str">
        <f>VLOOKUP($D451,PRECIOS_REFERENCIAS!A$3:D$90,2,FALSE)</f>
        <v>INSTALACION SD</v>
      </c>
      <c r="F451" s="3">
        <v>2</v>
      </c>
      <c r="G451" s="2" t="s">
        <v>18</v>
      </c>
      <c r="H451" s="40">
        <f>VLOOKUP($D451,PRECIOS_REFERENCIAS!A$3:D$90,4,FALSE)</f>
        <v>162.83522293745065</v>
      </c>
      <c r="I451" s="6">
        <f t="shared" ref="I451" si="7">H451*F451</f>
        <v>325.6704458749013</v>
      </c>
    </row>
    <row r="452" spans="1:9" hidden="1" outlineLevel="2">
      <c r="A452" s="23"/>
      <c r="B452" s="2"/>
      <c r="C452" s="2"/>
      <c r="D452" s="2"/>
      <c r="E452" s="5" t="str">
        <f>VLOOKUP($D451,PRECIOS_REFERENCIAS!A$3:D$90,3,FALSE)</f>
        <v>SUSTITUCIÓN DE MÓDULO DE E/S DIGITALES DE PLC EXISTENTE POR NUEVO MÓDULO DE PLC DEFINIDO. SALIDA DIGITAL 16</v>
      </c>
      <c r="F452" s="3"/>
      <c r="G452" s="2"/>
      <c r="H452" s="40"/>
      <c r="I452" s="6"/>
    </row>
    <row r="453" spans="1:9" hidden="1" outlineLevel="2">
      <c r="A453" s="24" t="s">
        <v>315</v>
      </c>
      <c r="B453" s="2" t="s">
        <v>114</v>
      </c>
      <c r="C453" s="2" t="s">
        <v>16</v>
      </c>
      <c r="D453" s="2" t="s">
        <v>114</v>
      </c>
      <c r="E453" s="39" t="str">
        <f>VLOOKUP($D453,PRECIOS_REFERENCIAS!A$3:D$48,2,FALSE)</f>
        <v>SUMINISTRO MÓDULO DE 8 ENTRADAS ANALÓGICAS</v>
      </c>
      <c r="F453" s="3">
        <v>1</v>
      </c>
      <c r="G453" s="2" t="s">
        <v>18</v>
      </c>
      <c r="H453" s="40">
        <f>VLOOKUP($D453,PRECIOS_REFERENCIAS!A$3:D$48,4,FALSE)</f>
        <v>372.39749999999998</v>
      </c>
      <c r="I453" s="6">
        <f t="shared" ref="I453" si="8">H453*F453</f>
        <v>372.39749999999998</v>
      </c>
    </row>
    <row r="454" spans="1:9" hidden="1" outlineLevel="2">
      <c r="A454" s="23"/>
      <c r="B454" s="7"/>
      <c r="C454" s="7"/>
      <c r="D454" s="7"/>
      <c r="E454" s="5" t="str">
        <f>VLOOKUP($D453,PRECIOS_REFERENCIAS!A$3:D$48,3,FALSE)</f>
        <v xml:space="preserve">SIMATIC S7-1200,  Módulo de Entradas analógicas, SM 1231, 8 EA //6ES7231-4HF32-0XB0 </v>
      </c>
      <c r="F454" s="7"/>
      <c r="G454" s="7"/>
      <c r="I454" s="6"/>
    </row>
    <row r="455" spans="1:9" hidden="1" outlineLevel="2">
      <c r="A455" s="24" t="s">
        <v>316</v>
      </c>
      <c r="B455" s="2" t="s">
        <v>20</v>
      </c>
      <c r="C455" s="2" t="s">
        <v>21</v>
      </c>
      <c r="D455" s="2" t="s">
        <v>46</v>
      </c>
      <c r="E455" s="39" t="str">
        <f>VLOOKUP($D455,PRECIOS_REFERENCIAS!A$3:D$90,2,FALSE)</f>
        <v>INSTALACION EA</v>
      </c>
      <c r="F455" s="3">
        <v>2</v>
      </c>
      <c r="G455" s="2" t="s">
        <v>18</v>
      </c>
      <c r="H455" s="40">
        <f>VLOOKUP($D455,PRECIOS_REFERENCIAS!A$3:D$90,4,FALSE)</f>
        <v>237.18351660213608</v>
      </c>
      <c r="I455" s="6">
        <f t="shared" ref="I455" si="9">H455*F455</f>
        <v>474.36703320427216</v>
      </c>
    </row>
    <row r="456" spans="1:9" hidden="1" outlineLevel="2">
      <c r="A456" s="23"/>
      <c r="B456" s="2"/>
      <c r="C456" s="2"/>
      <c r="D456" s="2"/>
      <c r="E456" s="5" t="str">
        <f>VLOOKUP($D455,PRECIOS_REFERENCIAS!A$3:D$90,3,FALSE)</f>
        <v>SUSTITUCIÓN DE MÓDULO DE E/S ANALÓGICAS DE PLC EXISTENTE POR NUEVO MÓDULO DE PLC DEFINIDO. ENTRADA ANALÓGICAS 8</v>
      </c>
      <c r="F456" s="3"/>
      <c r="G456" s="2"/>
      <c r="H456" s="40"/>
      <c r="I456" s="6"/>
    </row>
    <row r="457" spans="1:9" hidden="1" outlineLevel="2">
      <c r="A457" s="24" t="s">
        <v>317</v>
      </c>
      <c r="B457" s="2" t="s">
        <v>20</v>
      </c>
      <c r="C457" s="2" t="s">
        <v>21</v>
      </c>
      <c r="D457" s="2" t="s">
        <v>208</v>
      </c>
      <c r="E457" s="39" t="str">
        <f>VLOOKUP($D457,PRECIOS_REFERENCIAS!A$3:D$90,2,FALSE)</f>
        <v>RETIRADA CABLE CAUDAL SEÑAL ANALOGICA</v>
      </c>
      <c r="F457" s="3">
        <v>1</v>
      </c>
      <c r="G457" s="2" t="s">
        <v>18</v>
      </c>
      <c r="H457" s="40">
        <f>VLOOKUP($D457,PRECIOS_REFERENCIAS!A$3:D$90,4,FALSE)</f>
        <v>30</v>
      </c>
      <c r="I457" s="6">
        <f>H457*F457</f>
        <v>30</v>
      </c>
    </row>
    <row r="458" spans="1:9" hidden="1" outlineLevel="2">
      <c r="A458" s="23"/>
      <c r="B458" s="2"/>
      <c r="C458" s="2"/>
      <c r="D458" s="2"/>
      <c r="E458" s="5" t="str">
        <f>VLOOKUP($D457,PRECIOS_REFERENCIAS!A$3:D$90,3,FALSE)</f>
        <v>RETIRADA DEL CABLE ANALOGICO DEL CAUDALIMETRO POR LA COMUNICACIÓN ACTUAL MODBUS</v>
      </c>
      <c r="F458" s="3"/>
      <c r="G458" s="2"/>
      <c r="H458" s="40"/>
      <c r="I458" s="6"/>
    </row>
    <row r="459" spans="1:9" hidden="1" outlineLevel="2">
      <c r="A459" s="24" t="s">
        <v>318</v>
      </c>
      <c r="B459" s="2" t="s">
        <v>210</v>
      </c>
      <c r="C459" s="2" t="s">
        <v>16</v>
      </c>
      <c r="D459" s="2" t="s">
        <v>210</v>
      </c>
      <c r="E459" s="39" t="str">
        <f>VLOOKUP($D459,PRECIOS_REFERENCIAS!A$3:D$48,2,FALSE)</f>
        <v>HMI LOCAL 4" ETHERNET Y COLOR</v>
      </c>
      <c r="F459" s="3">
        <v>1</v>
      </c>
      <c r="G459" s="2" t="s">
        <v>18</v>
      </c>
      <c r="H459" s="40">
        <f>VLOOKUP($D459,PRECIOS_REFERENCIAS!A$3:D$48,4,FALSE)</f>
        <v>297.52999999999997</v>
      </c>
      <c r="I459" s="6">
        <f t="shared" ref="I459" si="10">H459*F459</f>
        <v>297.52999999999997</v>
      </c>
    </row>
    <row r="460" spans="1:9" hidden="1" outlineLevel="2">
      <c r="A460" s="23"/>
      <c r="B460" s="2"/>
      <c r="C460" s="7"/>
      <c r="D460" s="2"/>
      <c r="E460" s="5" t="str">
        <f>VLOOKUP($D459,PRECIOS_REFERENCIAS!A$3:D$48,3,FALSE)</f>
        <v>SIMATIC HMI, KTP400 Basic, Basic Panel, Manejo con teclado/táctil, pantalla TFT de 4", 65536 colores // 6AV2123-2GB03-0AX0</v>
      </c>
      <c r="F460" s="7"/>
      <c r="G460" s="7"/>
      <c r="I460" s="6"/>
    </row>
    <row r="461" spans="1:9" hidden="1" outlineLevel="2">
      <c r="A461" s="24" t="s">
        <v>319</v>
      </c>
      <c r="B461" s="2" t="s">
        <v>20</v>
      </c>
      <c r="C461" s="2" t="s">
        <v>21</v>
      </c>
      <c r="D461" s="2" t="s">
        <v>56</v>
      </c>
      <c r="E461" s="39" t="str">
        <f>VLOOKUP($D461,PRECIOS_REFERENCIAS!A$3:D$90,2,FALSE)</f>
        <v>INSTALACION HMI</v>
      </c>
      <c r="F461" s="3">
        <f>F459</f>
        <v>1</v>
      </c>
      <c r="G461" s="2" t="s">
        <v>18</v>
      </c>
      <c r="H461" s="40">
        <f>VLOOKUP($D461,PRECIOS_REFERENCIAS!A$3:D$90,4,FALSE)</f>
        <v>125</v>
      </c>
      <c r="I461" s="6">
        <f t="shared" ref="I461" si="11">H461*F461</f>
        <v>125</v>
      </c>
    </row>
    <row r="462" spans="1:9" hidden="1" outlineLevel="2">
      <c r="A462" s="23"/>
      <c r="B462" s="2"/>
      <c r="C462" s="2"/>
      <c r="D462" s="2"/>
      <c r="E462" s="5" t="str">
        <f>VLOOKUP($D461,PRECIOS_REFERENCIAS!A$3:D$90,3,FALSE)</f>
        <v>INSTALACIÓN DE PANTALLA HMI</v>
      </c>
      <c r="F462" s="3"/>
      <c r="G462" s="2"/>
      <c r="H462" s="40"/>
      <c r="I462" s="6"/>
    </row>
    <row r="463" spans="1:9" hidden="1" outlineLevel="2">
      <c r="A463" s="24" t="s">
        <v>320</v>
      </c>
      <c r="B463" s="2" t="s">
        <v>58</v>
      </c>
      <c r="C463" s="2" t="s">
        <v>16</v>
      </c>
      <c r="D463" s="2" t="s">
        <v>59</v>
      </c>
      <c r="E463" s="39" t="str">
        <f>VLOOKUP($D463,PRECIOS_REFERENCIAS!A$3:D$48,2,FALSE)</f>
        <v xml:space="preserve">SWITCH SHDSL 1 PUERTO </v>
      </c>
      <c r="F463" s="3">
        <v>1</v>
      </c>
      <c r="G463" s="2" t="s">
        <v>18</v>
      </c>
      <c r="H463" s="40">
        <f>VLOOKUP($D463,PRECIOS_REFERENCIAS!A$3:D$48,4,FALSE)</f>
        <v>828</v>
      </c>
      <c r="I463" s="6">
        <f t="shared" ref="I463" si="12">H463*F463</f>
        <v>828</v>
      </c>
    </row>
    <row r="464" spans="1:9" hidden="1" outlineLevel="2">
      <c r="A464" s="23"/>
      <c r="B464" s="2"/>
      <c r="C464" s="7"/>
      <c r="D464" s="2"/>
      <c r="E464" s="5" t="str">
        <f>VLOOKUP($D463,PRECIOS_REFERENCIAS!A$3:D$48,3,FALSE)</f>
        <v>SWITCH XSLAN+1400 O SIMILAR</v>
      </c>
      <c r="F464" s="7"/>
      <c r="G464" s="7"/>
      <c r="I464" s="6"/>
    </row>
    <row r="465" spans="1:9" hidden="1" outlineLevel="2">
      <c r="A465" s="24" t="s">
        <v>321</v>
      </c>
      <c r="B465" s="2" t="s">
        <v>20</v>
      </c>
      <c r="C465" s="2" t="s">
        <v>21</v>
      </c>
      <c r="D465" s="2" t="s">
        <v>61</v>
      </c>
      <c r="E465" s="39" t="str">
        <f>VLOOKUP($D465,PRECIOS_REFERENCIAS!A$3:D$90,2,FALSE)</f>
        <v>INSTALACION SWITCH SHDSL</v>
      </c>
      <c r="F465" s="3">
        <f>F463</f>
        <v>1</v>
      </c>
      <c r="G465" s="2" t="s">
        <v>18</v>
      </c>
      <c r="H465" s="40">
        <f>VLOOKUP($D465,PRECIOS_REFERENCIAS!A$3:D$90,4,FALSE)</f>
        <v>40</v>
      </c>
      <c r="I465" s="6">
        <f t="shared" ref="I465" si="13">H465*F465</f>
        <v>40</v>
      </c>
    </row>
    <row r="466" spans="1:9" hidden="1" outlineLevel="2">
      <c r="A466" s="23"/>
      <c r="B466" s="2"/>
      <c r="C466" s="2"/>
      <c r="D466" s="2"/>
      <c r="E466" s="5" t="str">
        <f>VLOOKUP($D465,PRECIOS_REFERENCIAS!A$3:D$90,3,FALSE)</f>
        <v>INSTALACIÓN DE ROUTER</v>
      </c>
      <c r="F466" s="3"/>
      <c r="G466" s="2"/>
      <c r="H466" s="40"/>
      <c r="I466" s="6"/>
    </row>
    <row r="467" spans="1:9" hidden="1" outlineLevel="2">
      <c r="A467" s="24" t="s">
        <v>322</v>
      </c>
      <c r="B467" s="2" t="s">
        <v>63</v>
      </c>
      <c r="C467" s="2" t="s">
        <v>16</v>
      </c>
      <c r="D467" s="2" t="s">
        <v>63</v>
      </c>
      <c r="E467" s="39" t="str">
        <f>VLOOKUP($D467,PRECIOS_REFERENCIAS!A$3:D$48,2,FALSE)</f>
        <v>DESCARGADOR DE SOBRETENSIONES LÍNEA SHDSL</v>
      </c>
      <c r="F467" s="3">
        <v>1</v>
      </c>
      <c r="G467" s="2" t="s">
        <v>18</v>
      </c>
      <c r="H467" s="40">
        <f>VLOOKUP($D467,PRECIOS_REFERENCIAS!A$3:D$48,4,FALSE)</f>
        <v>187</v>
      </c>
      <c r="I467" s="6">
        <f t="shared" ref="I467" si="14">H467*F467</f>
        <v>187</v>
      </c>
    </row>
    <row r="468" spans="1:9" hidden="1" outlineLevel="2">
      <c r="A468" s="23"/>
      <c r="B468" s="2"/>
      <c r="C468" s="7"/>
      <c r="D468" s="2"/>
      <c r="E468" s="5" t="str">
        <f>VLOOKUP($D467,PRECIOS_REFERENCIAS!A$3:D$48,3,FALSE)</f>
        <v>Equipo DT-TELE-SHDSL de Phoenix Contact con 2 puertos para conexión SHDSL</v>
      </c>
      <c r="F468" s="7"/>
      <c r="G468" s="7"/>
      <c r="I468" s="6"/>
    </row>
    <row r="469" spans="1:9" hidden="1" outlineLevel="2">
      <c r="A469" s="24" t="s">
        <v>323</v>
      </c>
      <c r="B469" s="2" t="s">
        <v>20</v>
      </c>
      <c r="C469" s="2" t="s">
        <v>21</v>
      </c>
      <c r="D469" s="2" t="s">
        <v>65</v>
      </c>
      <c r="E469" s="39" t="str">
        <f>VLOOKUP($D469,PRECIOS_REFERENCIAS!A$3:D$90,2,FALSE)</f>
        <v>INSTALACION DESCARGADOR</v>
      </c>
      <c r="F469" s="3">
        <f>F467</f>
        <v>1</v>
      </c>
      <c r="G469" s="2" t="s">
        <v>18</v>
      </c>
      <c r="H469" s="40">
        <f>VLOOKUP($D469,PRECIOS_REFERENCIAS!A$3:D$90,4,FALSE)</f>
        <v>64.403155112394401</v>
      </c>
      <c r="I469" s="6">
        <f t="shared" ref="I469" si="15">H469*F469</f>
        <v>64.403155112394401</v>
      </c>
    </row>
    <row r="470" spans="1:9" hidden="1" outlineLevel="2">
      <c r="A470" s="23"/>
      <c r="B470" s="2"/>
      <c r="C470" s="2"/>
      <c r="D470" s="2"/>
      <c r="E470" s="5" t="str">
        <f>VLOOKUP($D469,PRECIOS_REFERENCIAS!A$3:D$90,3,FALSE)</f>
        <v>INSTALACIÓN DE PROTECCIÓN CONTRA SOBRETENSIONES</v>
      </c>
      <c r="F470" s="3"/>
      <c r="G470" s="2"/>
      <c r="H470" s="40"/>
      <c r="I470" s="6"/>
    </row>
    <row r="471" spans="1:9" hidden="1" outlineLevel="2">
      <c r="A471" s="24" t="s">
        <v>324</v>
      </c>
      <c r="B471" s="2" t="s">
        <v>67</v>
      </c>
      <c r="C471" s="2" t="s">
        <v>16</v>
      </c>
      <c r="D471" s="2" t="s">
        <v>67</v>
      </c>
      <c r="E471" s="39" t="str">
        <f>VLOOKUP($D471,PRECIOS_REFERENCIAS!A$3:D$90,2,FALSE)</f>
        <v>ROUTER VPN 4G</v>
      </c>
      <c r="F471" s="3">
        <v>1</v>
      </c>
      <c r="G471" s="2" t="s">
        <v>18</v>
      </c>
      <c r="H471" s="40">
        <f>VLOOKUP($D471,PRECIOS_REFERENCIAS!A$3:D$90,4,FALSE)</f>
        <v>560.25</v>
      </c>
      <c r="I471" s="6">
        <f>H471*F471</f>
        <v>560.25</v>
      </c>
    </row>
    <row r="472" spans="1:9" hidden="1" outlineLevel="2">
      <c r="A472" s="23"/>
      <c r="B472" s="2"/>
      <c r="C472" s="38"/>
      <c r="D472" s="2"/>
      <c r="E472" s="5" t="str">
        <f>VLOOKUP($D471,PRECIOS_REFERENCIAS!A$3:D$90,3,FALSE)</f>
        <v>ROUTER IPL-C-100-LW O SIMILAR</v>
      </c>
      <c r="F472" s="7"/>
      <c r="G472" s="7"/>
      <c r="H472" s="40"/>
      <c r="I472" s="6"/>
    </row>
    <row r="473" spans="1:9" hidden="1" outlineLevel="2">
      <c r="A473" s="24" t="s">
        <v>325</v>
      </c>
      <c r="B473" s="2" t="s">
        <v>20</v>
      </c>
      <c r="C473" s="2" t="s">
        <v>21</v>
      </c>
      <c r="D473" s="2" t="s">
        <v>69</v>
      </c>
      <c r="E473" s="39" t="str">
        <f>VLOOKUP($D473,PRECIOS_REFERENCIAS!A$3:D$90,2,FALSE)</f>
        <v>INSTALACION ROUTER 4G</v>
      </c>
      <c r="F473" s="3">
        <f>F471</f>
        <v>1</v>
      </c>
      <c r="G473" s="2" t="s">
        <v>18</v>
      </c>
      <c r="H473" s="40">
        <f>VLOOKUP($D473,PRECIOS_REFERENCIAS!A$3:D$90,4,FALSE)</f>
        <v>40</v>
      </c>
      <c r="I473" s="6">
        <f>H473*F473</f>
        <v>40</v>
      </c>
    </row>
    <row r="474" spans="1:9" hidden="1" outlineLevel="2">
      <c r="A474" s="23"/>
      <c r="B474" s="2"/>
      <c r="C474" s="2"/>
      <c r="D474" s="2"/>
      <c r="E474" s="5" t="str">
        <f>VLOOKUP($D473,PRECIOS_REFERENCIAS!A$3:D$90,3,FALSE)</f>
        <v>INSTALACIÓN DE ROUTER 4G</v>
      </c>
      <c r="F474" s="3"/>
      <c r="G474" s="2"/>
      <c r="I474" s="6"/>
    </row>
    <row r="475" spans="1:9" hidden="1" outlineLevel="2">
      <c r="A475" s="24" t="s">
        <v>326</v>
      </c>
      <c r="B475" s="2" t="s">
        <v>71</v>
      </c>
      <c r="C475" s="2" t="s">
        <v>16</v>
      </c>
      <c r="D475" s="2" t="s">
        <v>71</v>
      </c>
      <c r="E475" s="39" t="str">
        <f>VLOOKUP($D475,PRECIOS_REFERENCIAS!A$3:D$90,2,FALSE)</f>
        <v>ANTENA 4G CON CABLE DE 5 METROS Y KIT MONTAJE ANTENA</v>
      </c>
      <c r="F475" s="3">
        <v>1</v>
      </c>
      <c r="G475" s="2" t="s">
        <v>18</v>
      </c>
      <c r="H475" s="40">
        <f>VLOOKUP($D475,PRECIOS_REFERENCIAS!A$3:D$90,4,FALSE)</f>
        <v>152.67857142857142</v>
      </c>
      <c r="I475" s="6">
        <f>H475*F475</f>
        <v>152.67857142857142</v>
      </c>
    </row>
    <row r="476" spans="1:9" hidden="1" outlineLevel="2">
      <c r="A476" s="23"/>
      <c r="C476" s="38"/>
      <c r="E476" s="5" t="str">
        <f>VLOOKUP($D475,PRECIOS_REFERENCIAS!A$3:D$90,3,FALSE)</f>
        <v>ANTENA 310 + KIT MONTAJE ANTENA 310</v>
      </c>
      <c r="I476" s="6"/>
    </row>
    <row r="477" spans="1:9" hidden="1" outlineLevel="2">
      <c r="A477" s="24" t="s">
        <v>327</v>
      </c>
      <c r="B477" s="2" t="s">
        <v>20</v>
      </c>
      <c r="C477" s="2" t="s">
        <v>21</v>
      </c>
      <c r="D477" s="2" t="s">
        <v>73</v>
      </c>
      <c r="E477" s="39" t="str">
        <f>VLOOKUP($D477,PRECIOS_REFERENCIAS!A$3:D$90,2,FALSE)</f>
        <v>INSTALACION ANTENA EXTERIOR</v>
      </c>
      <c r="F477" s="3">
        <f>F475</f>
        <v>1</v>
      </c>
      <c r="G477" s="2" t="s">
        <v>18</v>
      </c>
      <c r="H477" s="40">
        <f>VLOOKUP($D477,PRECIOS_REFERENCIAS!A$3:D$90,4,FALSE)</f>
        <v>149.03086772191051</v>
      </c>
      <c r="I477" s="6">
        <f>H477*F477</f>
        <v>149.03086772191051</v>
      </c>
    </row>
    <row r="478" spans="1:9" hidden="1" outlineLevel="2">
      <c r="A478" s="23"/>
      <c r="B478" s="2"/>
      <c r="C478" s="2"/>
      <c r="D478" s="2"/>
      <c r="E478" s="5" t="str">
        <f>VLOOKUP($D477,PRECIOS_REFERENCIAS!A$3:D$90,3,FALSE)</f>
        <v>INSTALACIÓN DE ANTENA EXTERIOR + KIT</v>
      </c>
      <c r="F478" s="3"/>
      <c r="G478" s="2"/>
      <c r="H478" s="40"/>
      <c r="I478" s="6"/>
    </row>
    <row r="479" spans="1:9" hidden="1" outlineLevel="2">
      <c r="A479" s="24" t="s">
        <v>328</v>
      </c>
      <c r="B479" s="2" t="s">
        <v>75</v>
      </c>
      <c r="C479" s="2" t="s">
        <v>16</v>
      </c>
      <c r="D479" s="2" t="s">
        <v>75</v>
      </c>
      <c r="E479" s="39" t="str">
        <f>VLOOKUP($D479,PRECIOS_REFERENCIAS!A$3:D$90,2,FALSE)</f>
        <v>SUMINISTRO SWITCH 5P</v>
      </c>
      <c r="F479" s="3">
        <v>1</v>
      </c>
      <c r="G479" s="2" t="s">
        <v>18</v>
      </c>
      <c r="H479" s="40">
        <f>VLOOKUP($D479,PRECIOS_REFERENCIAS!A$3:D$90,4,FALSE)</f>
        <v>97.65</v>
      </c>
      <c r="I479" s="6">
        <f>H479*F479</f>
        <v>97.65</v>
      </c>
    </row>
    <row r="480" spans="1:9" hidden="1" outlineLevel="2">
      <c r="A480" s="23"/>
      <c r="B480" s="2"/>
      <c r="C480" s="38"/>
      <c r="D480" s="2"/>
      <c r="E480" s="5" t="str">
        <f>VLOOKUP($D479,PRECIOS_REFERENCIAS!A$3:D$90,3,FALSE)</f>
        <v>SwitchNOGest_5x100TXRJ45 / MCSESU053FN0</v>
      </c>
      <c r="F480" s="7"/>
      <c r="G480" s="7"/>
      <c r="H480" s="40"/>
      <c r="I480" s="6"/>
    </row>
    <row r="481" spans="1:9" hidden="1" outlineLevel="2">
      <c r="A481" s="24" t="s">
        <v>329</v>
      </c>
      <c r="B481" s="2" t="s">
        <v>20</v>
      </c>
      <c r="C481" s="2" t="s">
        <v>21</v>
      </c>
      <c r="D481" s="2" t="s">
        <v>77</v>
      </c>
      <c r="E481" s="39" t="str">
        <f>VLOOKUP($D481,PRECIOS_REFERENCIAS!A$3:D$90,2,FALSE)</f>
        <v>INSTALACION SWITCH</v>
      </c>
      <c r="F481" s="3">
        <f>F479</f>
        <v>1</v>
      </c>
      <c r="G481" s="2" t="s">
        <v>18</v>
      </c>
      <c r="H481" s="40">
        <f>VLOOKUP($D481,PRECIOS_REFERENCIAS!A$3:D$90,4,FALSE)</f>
        <v>40</v>
      </c>
      <c r="I481" s="6">
        <f>H481*F481</f>
        <v>40</v>
      </c>
    </row>
    <row r="482" spans="1:9" hidden="1" outlineLevel="2">
      <c r="A482" s="23"/>
      <c r="B482" s="2"/>
      <c r="C482" s="2"/>
      <c r="D482" s="2"/>
      <c r="E482" s="5" t="str">
        <f>VLOOKUP($D481,PRECIOS_REFERENCIAS!A$3:D$90,3,FALSE)</f>
        <v>INSTALACIÓN DE SWITCH</v>
      </c>
      <c r="F482" s="3"/>
      <c r="G482" s="2"/>
      <c r="I482" s="6"/>
    </row>
    <row r="483" spans="1:9" hidden="1" outlineLevel="2">
      <c r="A483" s="24" t="s">
        <v>330</v>
      </c>
      <c r="B483" s="2" t="s">
        <v>79</v>
      </c>
      <c r="C483" s="2" t="s">
        <v>80</v>
      </c>
      <c r="D483" s="2" t="s">
        <v>81</v>
      </c>
      <c r="E483" s="39" t="str">
        <f>VLOOKUP($D483,PRECIOS_REFERENCIAS!A$3:D$90,2,FALSE)</f>
        <v>PLANIFICACION</v>
      </c>
      <c r="F483" s="3">
        <v>1</v>
      </c>
      <c r="G483" s="2" t="s">
        <v>18</v>
      </c>
      <c r="H483" s="40">
        <f>VLOOKUP($D483,PRECIOS_REFERENCIAS!A$3:D$90,4,FALSE)</f>
        <v>40</v>
      </c>
      <c r="I483" s="6">
        <f t="shared" ref="I483" si="16">H483*F483</f>
        <v>40</v>
      </c>
    </row>
    <row r="484" spans="1:9" hidden="1" outlineLevel="2">
      <c r="A484" s="23"/>
      <c r="B484" s="2"/>
      <c r="C484" s="2"/>
      <c r="D484" s="2"/>
      <c r="E484" s="5" t="str">
        <f>VLOOKUP($D483,PRECIOS_REFERENCIAS!A$3:D$90,3,FALSE)</f>
        <v>PLANIFICACIÓN DE LOS TRABAJOS Y DESCARGA EN LOCAL DEL PROGRAMA DEL PLC</v>
      </c>
      <c r="F484" s="3"/>
      <c r="G484" s="2"/>
      <c r="H484" s="40"/>
      <c r="I484" s="6"/>
    </row>
    <row r="485" spans="1:9" hidden="1" outlineLevel="2">
      <c r="A485" s="24" t="s">
        <v>331</v>
      </c>
      <c r="B485" s="2" t="s">
        <v>83</v>
      </c>
      <c r="C485" s="2" t="s">
        <v>80</v>
      </c>
      <c r="D485" s="2" t="s">
        <v>80</v>
      </c>
      <c r="E485" s="39" t="str">
        <f>VLOOKUP($D485,PRECIOS_REFERENCIAS!A$3:D$90,2,FALSE)</f>
        <v>INGENIERIA + ESQUEMAS</v>
      </c>
      <c r="F485" s="3">
        <v>1</v>
      </c>
      <c r="G485" s="2" t="s">
        <v>18</v>
      </c>
      <c r="H485" s="40">
        <f>VLOOKUP($D485,PRECIOS_REFERENCIAS!A$3:D$90,4,FALSE)</f>
        <v>300</v>
      </c>
      <c r="I485" s="6">
        <f t="shared" ref="I485" si="17">H485*F485</f>
        <v>300</v>
      </c>
    </row>
    <row r="486" spans="1:9" ht="22.5" hidden="1" outlineLevel="2">
      <c r="A486" s="23"/>
      <c r="B486" s="2"/>
      <c r="C486" s="2"/>
      <c r="D486" s="2"/>
      <c r="E486" s="5" t="str">
        <f>VLOOKUP($D485,PRECIOS_REFERENCIAS!A$3:D$90,3,FALSE)</f>
        <v>INGENIERÍA DE ACTUALIZACIÓN DE ESQUEMAS ELÉCTRICOS. INCLUYE LA REVISIÓN LOCAL DE LOS CUADROS Y ELEMENTOS DE CONTROL, ASÍ COMO LA COMPROBACIÓN DE LAS SEÑALES DE CONTROL.</v>
      </c>
      <c r="F486" s="3"/>
      <c r="G486" s="2"/>
      <c r="H486" s="40"/>
      <c r="I486" s="6"/>
    </row>
    <row r="487" spans="1:9" hidden="1" outlineLevel="2">
      <c r="A487" s="24" t="s">
        <v>332</v>
      </c>
      <c r="B487" s="2" t="s">
        <v>88</v>
      </c>
      <c r="C487" s="2" t="s">
        <v>80</v>
      </c>
      <c r="D487" s="2" t="s">
        <v>89</v>
      </c>
      <c r="E487" s="39" t="str">
        <f>VLOOKUP($D487,PRECIOS_REFERENCIAS!A$3:D$90,2,FALSE)</f>
        <v>PROGRAMA PLC NUEVO</v>
      </c>
      <c r="F487" s="3">
        <v>1</v>
      </c>
      <c r="G487" s="2" t="s">
        <v>18</v>
      </c>
      <c r="H487" s="40">
        <f>VLOOKUP($D487,PRECIOS_REFERENCIAS!A$3:D$90,4,FALSE)</f>
        <v>407.75660964439658</v>
      </c>
      <c r="I487" s="6">
        <f t="shared" ref="I487" si="18">H487*F487</f>
        <v>407.75660964439658</v>
      </c>
    </row>
    <row r="488" spans="1:9" hidden="1" outlineLevel="2">
      <c r="A488" s="23"/>
      <c r="B488" s="2"/>
      <c r="C488" s="2"/>
      <c r="D488" s="2"/>
      <c r="E488" s="5" t="str">
        <f>VLOOKUP($D487,PRECIOS_REFERENCIAS!A$3:D$90,3,FALSE)</f>
        <v>MIGRACION DEL PROGRAMA ACTUAL A LA NUEVA PLATAFORMA DE PROGRAMACION</v>
      </c>
      <c r="I488" s="6"/>
    </row>
    <row r="489" spans="1:9" hidden="1" outlineLevel="2">
      <c r="A489" s="24" t="s">
        <v>333</v>
      </c>
      <c r="B489" s="2" t="s">
        <v>227</v>
      </c>
      <c r="C489" s="2" t="s">
        <v>80</v>
      </c>
      <c r="D489" s="2" t="s">
        <v>228</v>
      </c>
      <c r="E489" s="39" t="str">
        <f>VLOOKUP($D489,PRECIOS_REFERENCIAS!A$3:D$90,2,FALSE)</f>
        <v>PRGRAMA MODBUS REMOTA 1200</v>
      </c>
      <c r="F489" s="3">
        <v>1</v>
      </c>
      <c r="G489" s="2" t="s">
        <v>18</v>
      </c>
      <c r="H489" s="40">
        <f>VLOOKUP($D489,PRECIOS_REFERENCIAS!A$3:D$90,4,FALSE)</f>
        <v>50</v>
      </c>
      <c r="I489" s="6">
        <f>H489*F489</f>
        <v>50</v>
      </c>
    </row>
    <row r="490" spans="1:9" hidden="1" outlineLevel="2">
      <c r="A490" s="23"/>
      <c r="B490" s="2"/>
      <c r="C490" s="2"/>
      <c r="D490" s="2"/>
      <c r="E490" s="5" t="str">
        <f>VLOOKUP($D489,PRECIOS_REFERENCIAS!A$3:D$90,3,FALSE)</f>
        <v>PROGRAMACION COMUNICACIÓN MODBUS CON OS CAUDALIMETROS</v>
      </c>
      <c r="I490" s="6"/>
    </row>
    <row r="491" spans="1:9" hidden="1" outlineLevel="2">
      <c r="A491" s="24" t="s">
        <v>334</v>
      </c>
      <c r="B491" s="2" t="s">
        <v>94</v>
      </c>
      <c r="C491" s="2" t="s">
        <v>80</v>
      </c>
      <c r="D491" s="2" t="s">
        <v>95</v>
      </c>
      <c r="E491" s="39" t="str">
        <f>VLOOKUP($D491,PRECIOS_REFERENCIAS!A$3:D$90,2,FALSE)</f>
        <v>PEM REMOTA</v>
      </c>
      <c r="F491" s="3">
        <v>1</v>
      </c>
      <c r="G491" s="2" t="s">
        <v>18</v>
      </c>
      <c r="H491" s="40">
        <f>VLOOKUP($D491,PRECIOS_REFERENCIAS!A$3:D$90,4,FALSE)</f>
        <v>851.7</v>
      </c>
      <c r="I491" s="6">
        <f t="shared" ref="I491" si="19">H491*F491</f>
        <v>851.7</v>
      </c>
    </row>
    <row r="492" spans="1:9" hidden="1" outlineLevel="2">
      <c r="A492" s="23"/>
      <c r="B492" s="2"/>
      <c r="C492" s="2"/>
      <c r="D492" s="2"/>
      <c r="E492" s="5" t="str">
        <f>VLOOKUP($D491,PRECIOS_REFERENCIAS!A$3:D$90,3,FALSE)</f>
        <v>PUESTA EN MARCHA DEL PROGRAMA DE CONTROL LOCAL</v>
      </c>
      <c r="F492" s="3"/>
      <c r="G492" s="2"/>
      <c r="H492" s="40"/>
      <c r="I492" s="6"/>
    </row>
    <row r="493" spans="1:9" hidden="1" outlineLevel="2">
      <c r="A493" s="24" t="s">
        <v>335</v>
      </c>
      <c r="B493" s="2" t="s">
        <v>97</v>
      </c>
      <c r="C493" s="2" t="s">
        <v>80</v>
      </c>
      <c r="D493" s="2" t="s">
        <v>98</v>
      </c>
      <c r="E493" s="39" t="str">
        <f>VLOOKUP($D493,PRECIOS_REFERENCIAS!A$3:D$90,2,FALSE)</f>
        <v>REVISION SCADA</v>
      </c>
      <c r="F493" s="3">
        <v>1</v>
      </c>
      <c r="G493" s="2" t="s">
        <v>18</v>
      </c>
      <c r="H493" s="40">
        <f>VLOOKUP($D493,PRECIOS_REFERENCIAS!A$3:D$90,4,FALSE)</f>
        <v>60</v>
      </c>
      <c r="I493" s="6">
        <f t="shared" ref="I493" si="20">H493*F493</f>
        <v>60</v>
      </c>
    </row>
    <row r="494" spans="1:9" hidden="1" outlineLevel="2">
      <c r="A494" s="23"/>
      <c r="B494" s="2"/>
      <c r="C494" s="2"/>
      <c r="D494" s="2"/>
      <c r="E494" s="5" t="str">
        <f>VLOOKUP($D493,PRECIOS_REFERENCIAS!A$3:D$90,3,FALSE)</f>
        <v>REVISIÓN DEL PROGRAMA DE SUPERVISIÓN SCADA</v>
      </c>
      <c r="I494" s="6"/>
    </row>
    <row r="495" spans="1:9" hidden="1" outlineLevel="2">
      <c r="A495" s="24"/>
      <c r="B495" s="2"/>
      <c r="C495" s="2" t="s">
        <v>16</v>
      </c>
      <c r="D495" s="2"/>
      <c r="E495" s="76" t="str">
        <f>CONCATENATE(E420," - TOTAL HARDWARE")</f>
        <v>ER5 DEPOSITO URRETXU - TOTAL HARDWARE</v>
      </c>
      <c r="F495" s="74"/>
      <c r="G495" s="74"/>
      <c r="H495" s="74"/>
      <c r="I495" s="75">
        <f>I421+I425+I429+I433+I445+I449+I453+I459+I463+I467+I471+I475+I479+I437+I431+I441</f>
        <v>4545.0466896359012</v>
      </c>
    </row>
    <row r="496" spans="1:9" hidden="1" outlineLevel="2">
      <c r="A496" s="23"/>
      <c r="B496" s="2"/>
      <c r="C496" s="2" t="s">
        <v>21</v>
      </c>
      <c r="D496" s="2"/>
      <c r="E496" s="76" t="str">
        <f>CONCATENATE(E420," - TOTAL INSTALACION")</f>
        <v>ER5 DEPOSITO URRETXU - TOTAL INSTALACION</v>
      </c>
      <c r="F496" s="74"/>
      <c r="G496" s="74"/>
      <c r="H496" s="74"/>
      <c r="I496" s="75">
        <f>I423+I427+I435+I447+I451+I455+I461+I465+I469+I473+I477+I481+I457+I443+I439</f>
        <v>1891.7207154591288</v>
      </c>
    </row>
    <row r="497" spans="1:10" hidden="1" outlineLevel="2">
      <c r="A497" s="23"/>
      <c r="B497" s="2"/>
      <c r="C497" s="2" t="s">
        <v>80</v>
      </c>
      <c r="D497" s="2"/>
      <c r="E497" s="76" t="str">
        <f>CONCATENATE(E420," - TOTAL INGENIERIA")</f>
        <v>ER5 DEPOSITO URRETXU - TOTAL INGENIERIA</v>
      </c>
      <c r="F497" s="74"/>
      <c r="G497" s="74"/>
      <c r="H497" s="74"/>
      <c r="I497" s="75">
        <f>I483+I485+I487+I491+I493+I489</f>
        <v>1709.4566096443966</v>
      </c>
      <c r="J497" s="22">
        <f>SUM(I495:I497)</f>
        <v>8146.2240147394268</v>
      </c>
    </row>
    <row r="498" spans="1:10" hidden="1" outlineLevel="2">
      <c r="E498" s="41" t="str">
        <f>CONCATENATE("TOTAL ",A420)</f>
        <v>TOTAL  SUBCAPÍTULO 01.08</v>
      </c>
      <c r="F498" s="41"/>
      <c r="G498" s="41"/>
      <c r="H498" s="41"/>
      <c r="I498" s="42">
        <f>SUM(I421:I494)</f>
        <v>8146.2240147394268</v>
      </c>
    </row>
    <row r="499" spans="1:10" hidden="1" outlineLevel="1">
      <c r="A499" s="44" t="s">
        <v>336</v>
      </c>
      <c r="B499" s="44"/>
      <c r="C499" s="44"/>
      <c r="D499" s="44"/>
      <c r="E499" s="43" t="s">
        <v>337</v>
      </c>
      <c r="F499" s="44"/>
      <c r="G499" s="44" t="s">
        <v>11</v>
      </c>
      <c r="H499" s="45"/>
      <c r="I499" s="64">
        <f>I565</f>
        <v>9873.8468768739931</v>
      </c>
    </row>
    <row r="500" spans="1:10" hidden="1" outlineLevel="2">
      <c r="A500" s="24" t="s">
        <v>338</v>
      </c>
      <c r="B500" s="2" t="s">
        <v>15</v>
      </c>
      <c r="C500" s="2" t="s">
        <v>16</v>
      </c>
      <c r="D500" s="2" t="s">
        <v>15</v>
      </c>
      <c r="E500" s="39" t="str">
        <f>VLOOKUP($D500,PRECIOS_REFERENCIAS!A$3:D$90,2,FALSE)</f>
        <v xml:space="preserve">CARRIL DIN </v>
      </c>
      <c r="F500" s="3">
        <v>1</v>
      </c>
      <c r="G500" s="2" t="s">
        <v>18</v>
      </c>
      <c r="H500" s="40">
        <f>VLOOKUP($D500,PRECIOS_REFERENCIAS!A$3:D$90,4,FALSE)</f>
        <v>2.6481182073295662</v>
      </c>
      <c r="I500" s="6">
        <f>H500*F500</f>
        <v>2.6481182073295662</v>
      </c>
    </row>
    <row r="501" spans="1:10" hidden="1" outlineLevel="2">
      <c r="A501" s="23"/>
      <c r="B501" s="2"/>
      <c r="C501" s="2"/>
      <c r="D501" s="2"/>
      <c r="E501" s="5" t="str">
        <f>VLOOKUP($D500,PRECIOS_REFERENCIAS!A$3:D$90,3,FALSE)</f>
        <v>CARRIL DIN PARA REMOTA S7-1200</v>
      </c>
      <c r="F501" s="3"/>
      <c r="G501" s="2"/>
      <c r="H501" s="40"/>
      <c r="I501" s="6"/>
    </row>
    <row r="502" spans="1:10" hidden="1" outlineLevel="2">
      <c r="A502" s="24" t="s">
        <v>339</v>
      </c>
      <c r="B502" s="2" t="s">
        <v>20</v>
      </c>
      <c r="C502" s="2" t="s">
        <v>21</v>
      </c>
      <c r="D502" s="2" t="s">
        <v>22</v>
      </c>
      <c r="E502" s="39" t="str">
        <f>VLOOKUP($D502,PRECIOS_REFERENCIAS!A$3:D$90,2,FALSE)</f>
        <v xml:space="preserve">INSTALACION CARRIL DIN </v>
      </c>
      <c r="F502" s="3">
        <v>1</v>
      </c>
      <c r="G502" s="2" t="s">
        <v>18</v>
      </c>
      <c r="H502" s="40">
        <f>VLOOKUP($D502,PRECIOS_REFERENCIAS!A$3:D$90,4,FALSE)</f>
        <v>35.402252939916011</v>
      </c>
      <c r="I502" s="6">
        <f>H502*F502</f>
        <v>35.402252939916011</v>
      </c>
    </row>
    <row r="503" spans="1:10" hidden="1" outlineLevel="2">
      <c r="A503" s="23"/>
      <c r="B503" s="2"/>
      <c r="C503" s="2"/>
      <c r="D503" s="2"/>
      <c r="E503" s="5" t="str">
        <f>VLOOKUP($D502,PRECIOS_REFERENCIAS!A$3:D$90,3,FALSE)</f>
        <v>SUSTITUCIÓN DE PERFIL SOPORTE DE PLC EXISTENTE POR NUEVO PERFIL DE PLC DEFINIDO, DENTRO DEL ARMARIO ELÉCTRICO ACTUAL.</v>
      </c>
      <c r="F503" s="3"/>
      <c r="G503" s="2"/>
      <c r="H503" s="40"/>
      <c r="I503" s="6"/>
    </row>
    <row r="504" spans="1:10" hidden="1" outlineLevel="2">
      <c r="A504" s="24" t="s">
        <v>340</v>
      </c>
      <c r="B504" s="2" t="s">
        <v>104</v>
      </c>
      <c r="C504" s="2" t="s">
        <v>16</v>
      </c>
      <c r="D504" s="2" t="s">
        <v>104</v>
      </c>
      <c r="E504" s="39" t="str">
        <f>VLOOKUP($D504,PRECIOS_REFERENCIAS!A$3:D$48,2,FALSE)</f>
        <v>SUMINISTRO DE CPU REMOTAS</v>
      </c>
      <c r="F504" s="3">
        <v>1</v>
      </c>
      <c r="G504" s="2" t="s">
        <v>18</v>
      </c>
      <c r="H504" s="40">
        <f>VLOOKUP($D504,PRECIOS_REFERENCIAS!A$3:D$48,4,FALSE)</f>
        <v>416.28749999999997</v>
      </c>
      <c r="I504" s="6">
        <f t="shared" ref="I504" si="21">H504*F504</f>
        <v>416.28749999999997</v>
      </c>
    </row>
    <row r="505" spans="1:10" hidden="1" outlineLevel="2">
      <c r="A505" s="23"/>
      <c r="B505" s="38"/>
      <c r="C505" s="38"/>
      <c r="D505" s="38"/>
      <c r="E505" s="5" t="str">
        <f>VLOOKUP($D504,PRECIOS_REFERENCIAS!A$3:D$48,3,FALSE)</f>
        <v>SIMATIC S7-1200 - CPU 1214C //6ES7214-1AG40-0XB0</v>
      </c>
      <c r="F505" s="7"/>
      <c r="G505" s="7"/>
      <c r="I505" s="6"/>
    </row>
    <row r="506" spans="1:10" hidden="1" outlineLevel="2">
      <c r="A506" s="24" t="s">
        <v>341</v>
      </c>
      <c r="B506" s="2" t="s">
        <v>20</v>
      </c>
      <c r="C506" s="2" t="s">
        <v>21</v>
      </c>
      <c r="D506" s="2" t="s">
        <v>28</v>
      </c>
      <c r="E506" s="39" t="str">
        <f>VLOOKUP($D506,PRECIOS_REFERENCIAS!A$3:D$90,2,FALSE)</f>
        <v>INSTALACION CPU</v>
      </c>
      <c r="F506" s="3">
        <v>1</v>
      </c>
      <c r="G506" s="2" t="s">
        <v>18</v>
      </c>
      <c r="H506" s="40">
        <f>VLOOKUP($D506,PRECIOS_REFERENCIAS!A$3:D$90,4,FALSE)</f>
        <v>123.90076030798227</v>
      </c>
      <c r="I506" s="6">
        <f t="shared" ref="I506" si="22">H506*F506</f>
        <v>123.90076030798227</v>
      </c>
    </row>
    <row r="507" spans="1:10" hidden="1" outlineLevel="2">
      <c r="A507" s="23"/>
      <c r="B507" s="2"/>
      <c r="C507" s="2"/>
      <c r="D507" s="2"/>
      <c r="E507" s="5" t="str">
        <f>VLOOKUP($D506,PRECIOS_REFERENCIAS!A$3:D$90,3,FALSE)</f>
        <v>SUSTITUCIÓN DE CPU DE PLC EXISTENTE POR NUEVA CPU DE PLC DEFINIDA</v>
      </c>
      <c r="F507" s="3"/>
      <c r="G507" s="2"/>
      <c r="H507" s="40"/>
      <c r="I507" s="6"/>
    </row>
    <row r="508" spans="1:10" hidden="1" outlineLevel="2">
      <c r="A508" s="24" t="s">
        <v>342</v>
      </c>
      <c r="B508" s="2" t="s">
        <v>153</v>
      </c>
      <c r="C508" s="2" t="s">
        <v>16</v>
      </c>
      <c r="D508" s="2" t="s">
        <v>153</v>
      </c>
      <c r="E508" s="39" t="str">
        <f>VLOOKUP($D508,PRECIOS_REFERENCIAS!A$3:D$48,2,FALSE)</f>
        <v>SUMINISTRO DE FUENTE ALIMENTACIÓN CPU REMOTAS</v>
      </c>
      <c r="F508" s="3">
        <v>1</v>
      </c>
      <c r="G508" s="2" t="s">
        <v>18</v>
      </c>
      <c r="H508" s="40">
        <f>VLOOKUP($D508,PRECIOS_REFERENCIAS!A$3:D$48,4,FALSE)</f>
        <v>180.01500000000001</v>
      </c>
      <c r="I508" s="6">
        <f t="shared" ref="I508" si="23">H508*F508</f>
        <v>180.01500000000001</v>
      </c>
    </row>
    <row r="509" spans="1:10" hidden="1" outlineLevel="2">
      <c r="A509" s="23"/>
      <c r="B509" s="7"/>
      <c r="C509" s="7"/>
      <c r="D509" s="7"/>
      <c r="E509" s="5" t="str">
        <f>VLOOKUP($D508,PRECIOS_REFERENCIAS!A$3:D$48,3,FALSE)</f>
        <v>SITOP PSU6200 24 V/10 A // 6EP3334-7SB00-3AX0    </v>
      </c>
      <c r="F509" s="7"/>
      <c r="G509" s="7"/>
      <c r="I509" s="6"/>
    </row>
    <row r="510" spans="1:10" hidden="1" outlineLevel="2">
      <c r="A510" s="24" t="s">
        <v>343</v>
      </c>
      <c r="B510" s="2" t="s">
        <v>155</v>
      </c>
      <c r="C510" s="2" t="s">
        <v>16</v>
      </c>
      <c r="D510" s="2" t="s">
        <v>156</v>
      </c>
      <c r="E510" s="39" t="str">
        <f>VLOOKUP($D510,PRECIOS_REFERENCIAS!A$3:D$98,2,FALSE)</f>
        <v>TARJETA DE MEMORIA S7-1200</v>
      </c>
      <c r="F510" s="3">
        <v>1</v>
      </c>
      <c r="G510" s="2" t="s">
        <v>18</v>
      </c>
      <c r="H510" s="40">
        <f>VLOOKUP($D510,PRECIOS_REFERENCIAS!A$3:D$100,4,FALSE)</f>
        <v>263.13750000000005</v>
      </c>
      <c r="I510" s="6">
        <f>H510*F510</f>
        <v>263.13750000000005</v>
      </c>
    </row>
    <row r="511" spans="1:10" hidden="1" outlineLevel="2">
      <c r="A511" s="23"/>
      <c r="B511" s="7"/>
      <c r="C511" s="7"/>
      <c r="D511" s="7"/>
      <c r="E511" s="5" t="str">
        <f>VLOOKUP($D510,PRECIOS_REFERENCIAS!A$3:D$98,3,FALSE)</f>
        <v>SIMATIC S7 Memory Card, 24 MB //6ES7954-8LF03-0AA0</v>
      </c>
      <c r="F511" s="7"/>
      <c r="G511" s="7"/>
      <c r="I511" s="6"/>
    </row>
    <row r="512" spans="1:10" hidden="1" outlineLevel="2">
      <c r="A512" s="24" t="s">
        <v>344</v>
      </c>
      <c r="B512" s="2" t="s">
        <v>158</v>
      </c>
      <c r="C512" s="2" t="s">
        <v>16</v>
      </c>
      <c r="D512" s="2" t="s">
        <v>159</v>
      </c>
      <c r="E512" s="39" t="str">
        <f>VLOOKUP($D512,PRECIOS_REFERENCIAS!A$3:D$90,2,FALSE)</f>
        <v>TARJETA COMUNICACIONES  S7-1200</v>
      </c>
      <c r="F512" s="3">
        <v>1</v>
      </c>
      <c r="G512" s="2" t="s">
        <v>18</v>
      </c>
      <c r="H512" s="40">
        <f>VLOOKUP($D512,PRECIOS_REFERENCIAS!A$3:D$90,4,FALSE)</f>
        <v>518.66999999999996</v>
      </c>
      <c r="I512" s="6">
        <f>H512*F512</f>
        <v>518.66999999999996</v>
      </c>
    </row>
    <row r="513" spans="1:9" hidden="1" outlineLevel="2">
      <c r="A513" s="23"/>
      <c r="B513" s="2"/>
      <c r="C513" s="38"/>
      <c r="D513" s="2"/>
      <c r="E513" s="5" t="str">
        <f>VLOOKUP($D512,PRECIOS_REFERENCIAS!A$3:D$90,3,FALSE)</f>
        <v>SIMATIC S7-1200  Modulo Ethernet CP 1243-1  //6GK7243-1BX30-0XE0</v>
      </c>
      <c r="F513" s="3"/>
      <c r="G513" s="2"/>
      <c r="H513" s="40"/>
      <c r="I513" s="6"/>
    </row>
    <row r="514" spans="1:9" hidden="1" outlineLevel="2">
      <c r="A514" s="24" t="s">
        <v>345</v>
      </c>
      <c r="B514" s="2" t="s">
        <v>20</v>
      </c>
      <c r="C514" s="2" t="s">
        <v>21</v>
      </c>
      <c r="D514" s="2" t="s">
        <v>161</v>
      </c>
      <c r="E514" s="39" t="str">
        <f>VLOOKUP($D514,PRECIOS_REFERENCIAS!A$3:D$90,2,FALSE)</f>
        <v>INSTALACION COM ADICIONAL</v>
      </c>
      <c r="F514" s="3">
        <v>1</v>
      </c>
      <c r="G514" s="2" t="s">
        <v>18</v>
      </c>
      <c r="H514" s="40">
        <f>VLOOKUP($D514,PRECIOS_REFERENCIAS!A$3:D$90,4,FALSE)</f>
        <v>40</v>
      </c>
      <c r="I514" s="6">
        <f>H514*F514</f>
        <v>40</v>
      </c>
    </row>
    <row r="515" spans="1:9" hidden="1" outlineLevel="2">
      <c r="A515" s="23"/>
      <c r="B515" s="7"/>
      <c r="C515" s="7"/>
      <c r="D515" s="7"/>
      <c r="E515" s="5" t="str">
        <f>VLOOKUP($D514,PRECIOS_REFERENCIAS!A$3:D$90,3,FALSE)</f>
        <v xml:space="preserve">INSTALACION TARJETA COMUNICACIONES ADICIONAL </v>
      </c>
      <c r="F515" s="7"/>
      <c r="G515" s="7"/>
      <c r="I515" s="6"/>
    </row>
    <row r="516" spans="1:9" hidden="1" outlineLevel="2">
      <c r="A516" s="24" t="s">
        <v>346</v>
      </c>
      <c r="B516" s="2" t="s">
        <v>196</v>
      </c>
      <c r="C516" s="2" t="s">
        <v>16</v>
      </c>
      <c r="D516" s="2" t="s">
        <v>197</v>
      </c>
      <c r="E516" s="39" t="str">
        <f>VLOOKUP($D516,PRECIOS_REFERENCIAS!A$3:D$48,2,FALSE)</f>
        <v>TARJETA COMUNICACIÓN RS485 S7-1200</v>
      </c>
      <c r="F516" s="3">
        <v>1</v>
      </c>
      <c r="G516" s="2" t="s">
        <v>18</v>
      </c>
      <c r="H516" s="40">
        <f>VLOOKUP($D516,PRECIOS_REFERENCIAS!A$3:D$48,4,FALSE)</f>
        <v>130.19999999999999</v>
      </c>
      <c r="I516" s="6">
        <f>H516*F516</f>
        <v>130.19999999999999</v>
      </c>
    </row>
    <row r="517" spans="1:9" hidden="1" outlineLevel="2">
      <c r="A517" s="23"/>
      <c r="B517" s="7"/>
      <c r="C517" s="38"/>
      <c r="D517" s="7"/>
      <c r="E517" s="5" t="str">
        <f>VLOOKUP($D516,PRECIOS_REFERENCIAS!A$3:D$48,3,FALSE)</f>
        <v>Modul de comunic. CM 1241, RS422/485  //6ES7241-1CH32-0XB0</v>
      </c>
      <c r="F517" s="7"/>
      <c r="G517" s="7"/>
      <c r="I517" s="6"/>
    </row>
    <row r="518" spans="1:9" hidden="1" outlineLevel="2">
      <c r="A518" s="24" t="s">
        <v>347</v>
      </c>
      <c r="B518" s="2" t="s">
        <v>20</v>
      </c>
      <c r="C518" s="2" t="s">
        <v>21</v>
      </c>
      <c r="D518" s="2" t="s">
        <v>199</v>
      </c>
      <c r="E518" s="39" t="str">
        <f>VLOOKUP($D518,PRECIOS_REFERENCIAS!A$3:D$90,2,FALSE)</f>
        <v>INSTALACION CABLEADO MODBUS CAUDALIMETRO</v>
      </c>
      <c r="F518" s="3">
        <v>3</v>
      </c>
      <c r="G518" s="2" t="s">
        <v>18</v>
      </c>
      <c r="H518" s="40">
        <f>VLOOKUP($D518,PRECIOS_REFERENCIAS!A$3:D$90,4,FALSE)</f>
        <v>40</v>
      </c>
      <c r="I518" s="6">
        <f>H518*F518</f>
        <v>120</v>
      </c>
    </row>
    <row r="519" spans="1:9" hidden="1" outlineLevel="2">
      <c r="A519" s="23"/>
      <c r="B519" s="2"/>
      <c r="C519" s="2"/>
      <c r="D519" s="2"/>
      <c r="E519" s="5" t="str">
        <f>VLOOKUP($D518,PRECIOS_REFERENCIAS!A$3:D$90,3,FALSE)</f>
        <v>INSTALACIÓN DEL CABLEADO MODUS PARA CADA CAUDALIMETRO CON COMUNICACIÓN MODBUS</v>
      </c>
      <c r="F519" s="3"/>
      <c r="G519" s="2"/>
      <c r="H519" s="40"/>
      <c r="I519" s="6"/>
    </row>
    <row r="520" spans="1:9" hidden="1" outlineLevel="2">
      <c r="A520" s="24" t="s">
        <v>348</v>
      </c>
      <c r="B520" s="2" t="s">
        <v>201</v>
      </c>
      <c r="C520" s="2" t="s">
        <v>16</v>
      </c>
      <c r="D520" s="2" t="s">
        <v>202</v>
      </c>
      <c r="E520" s="39" t="str">
        <f>VLOOKUP($D520,PRECIOS_REFERENCIAS!A$3:D$48,2,FALSE)</f>
        <v>TARJETA COMUNICACIÓN MODBUS CAUDALIMETRO</v>
      </c>
      <c r="F520" s="3">
        <f>F518</f>
        <v>3</v>
      </c>
      <c r="G520" s="2" t="s">
        <v>18</v>
      </c>
      <c r="H520" s="40">
        <f>VLOOKUP($D520,PRECIOS_REFERENCIAS!A$3:D$48,4,FALSE)</f>
        <v>183.48750000000001</v>
      </c>
      <c r="I520" s="6">
        <f>H520*F520</f>
        <v>550.46250000000009</v>
      </c>
    </row>
    <row r="521" spans="1:9" hidden="1" outlineLevel="2">
      <c r="A521" s="23"/>
      <c r="B521" s="7"/>
      <c r="C521" s="38"/>
      <c r="D521" s="7"/>
      <c r="E521" s="5" t="str">
        <f>VLOOKUP($D520,PRECIOS_REFERENCIAS!A$3:D$48,3,FALSE)</f>
        <v>TARJETA MODBUS RTU/RS485 para caudalímetro MAG 6000 // FDK:085U0234</v>
      </c>
      <c r="F521" s="7"/>
      <c r="G521" s="7"/>
      <c r="I521" s="6"/>
    </row>
    <row r="522" spans="1:9" hidden="1" outlineLevel="2">
      <c r="A522" s="24" t="s">
        <v>349</v>
      </c>
      <c r="B522" s="2" t="s">
        <v>20</v>
      </c>
      <c r="C522" s="2" t="s">
        <v>21</v>
      </c>
      <c r="D522" s="2" t="s">
        <v>204</v>
      </c>
      <c r="E522" s="39" t="str">
        <f>VLOOKUP($D522,PRECIOS_REFERENCIAS!A$3:D$90,2,FALSE)</f>
        <v>INSTALACION TARJETA MODBUS CAUDALIMETRO</v>
      </c>
      <c r="F522" s="3">
        <f>F520</f>
        <v>3</v>
      </c>
      <c r="G522" s="2" t="s">
        <v>18</v>
      </c>
      <c r="H522" s="40">
        <f>VLOOKUP($D522,PRECIOS_REFERENCIAS!A$3:D$90,4,FALSE)</f>
        <v>40</v>
      </c>
      <c r="I522" s="6">
        <f>H522*F522</f>
        <v>120</v>
      </c>
    </row>
    <row r="523" spans="1:9" hidden="1" outlineLevel="2">
      <c r="A523" s="23"/>
      <c r="B523" s="2"/>
      <c r="C523" s="2"/>
      <c r="D523" s="2"/>
      <c r="E523" s="5" t="str">
        <f>VLOOKUP($D522,PRECIOS_REFERENCIAS!A$3:D$90,3,FALSE)</f>
        <v>INSTALACIÓN DE LA TARJETA DE MODBUS EN EL CAUDALIMETRO</v>
      </c>
      <c r="F523" s="3"/>
      <c r="G523" s="2"/>
      <c r="H523" s="40"/>
      <c r="I523" s="6"/>
    </row>
    <row r="524" spans="1:9" hidden="1" outlineLevel="2">
      <c r="A524" s="24" t="s">
        <v>350</v>
      </c>
      <c r="B524" s="2" t="s">
        <v>108</v>
      </c>
      <c r="C524" s="2" t="s">
        <v>16</v>
      </c>
      <c r="D524" s="2" t="s">
        <v>108</v>
      </c>
      <c r="E524" s="39" t="str">
        <f>VLOOKUP($D524,PRECIOS_REFERENCIAS!A$3:D$48,2,FALSE)</f>
        <v>SUMINISTRO MÓDULO DE 16 ENTRADAS DIGITALES</v>
      </c>
      <c r="F524" s="3">
        <v>3</v>
      </c>
      <c r="G524" s="2" t="s">
        <v>18</v>
      </c>
      <c r="H524" s="40">
        <f>VLOOKUP($D524,PRECIOS_REFERENCIAS!A$3:D$48,4,FALSE)</f>
        <v>177.54749999999999</v>
      </c>
      <c r="I524" s="6">
        <f t="shared" ref="I524" si="24">H524*F524</f>
        <v>532.64249999999993</v>
      </c>
    </row>
    <row r="525" spans="1:9" hidden="1" outlineLevel="2">
      <c r="A525" s="23"/>
      <c r="B525" s="7"/>
      <c r="C525" s="7"/>
      <c r="D525" s="7"/>
      <c r="E525" s="5" t="str">
        <f>VLOOKUP($D524,PRECIOS_REFERENCIAS!A$3:D$48,3,FALSE)</f>
        <v xml:space="preserve">SIMATIC S7-1200,  Módulo SM1221 //6ES7221-1BH32-0XB0 </v>
      </c>
      <c r="F525" s="7"/>
      <c r="G525" s="7"/>
      <c r="I525" s="6"/>
    </row>
    <row r="526" spans="1:9" hidden="1" outlineLevel="2">
      <c r="A526" s="24" t="s">
        <v>351</v>
      </c>
      <c r="B526" s="2" t="s">
        <v>20</v>
      </c>
      <c r="C526" s="2" t="s">
        <v>21</v>
      </c>
      <c r="D526" s="2" t="s">
        <v>35</v>
      </c>
      <c r="E526" s="39" t="str">
        <f>VLOOKUP($D526,PRECIOS_REFERENCIAS!A$3:D$90,2,FALSE)</f>
        <v>INSTALACION ED</v>
      </c>
      <c r="F526" s="3">
        <f>F524+1</f>
        <v>4</v>
      </c>
      <c r="G526" s="2" t="s">
        <v>18</v>
      </c>
      <c r="H526" s="40">
        <f>VLOOKUP($D526,PRECIOS_REFERENCIAS!A$3:D$90,4,FALSE)</f>
        <v>161.97310014887609</v>
      </c>
      <c r="I526" s="6">
        <f t="shared" ref="I526" si="25">H526*F526</f>
        <v>647.89240059550434</v>
      </c>
    </row>
    <row r="527" spans="1:9" hidden="1" outlineLevel="2">
      <c r="A527" s="23"/>
      <c r="B527" s="2"/>
      <c r="C527" s="2"/>
      <c r="D527" s="2"/>
      <c r="E527" s="5" t="str">
        <f>VLOOKUP($D526,PRECIOS_REFERENCIAS!A$3:D$90,3,FALSE)</f>
        <v>SUSTITUCIÓN DE MÓDULO DE E/S DIGITALES DE PLC EXISTENTE POR NUEVO MÓDULO DE PLC DEFINIDO. ENTRADA DIGITAL 16</v>
      </c>
      <c r="F527" s="3"/>
      <c r="G527" s="2"/>
      <c r="H527" s="40"/>
      <c r="I527" s="6"/>
    </row>
    <row r="528" spans="1:9" hidden="1" outlineLevel="2">
      <c r="A528" s="24" t="s">
        <v>352</v>
      </c>
      <c r="B528" s="2" t="s">
        <v>165</v>
      </c>
      <c r="C528" s="2" t="s">
        <v>16</v>
      </c>
      <c r="D528" s="2" t="s">
        <v>165</v>
      </c>
      <c r="E528" s="39" t="str">
        <f>VLOOKUP($D528,PRECIOS_REFERENCIAS!A$3:D$48,2,FALSE)</f>
        <v>SUMINISTRO MÓDULO DE 16 SALIDAS DIGITALES</v>
      </c>
      <c r="F528" s="3">
        <v>3</v>
      </c>
      <c r="G528" s="2" t="s">
        <v>18</v>
      </c>
      <c r="H528" s="40">
        <f>VLOOKUP($D528,PRECIOS_REFERENCIAS!A$3:D$48,4,FALSE)</f>
        <v>177.54749999999999</v>
      </c>
      <c r="I528" s="6">
        <f t="shared" ref="I528" si="26">H528*F528</f>
        <v>532.64249999999993</v>
      </c>
    </row>
    <row r="529" spans="1:9" hidden="1" outlineLevel="2">
      <c r="A529" s="23"/>
      <c r="B529" s="7"/>
      <c r="C529" s="7"/>
      <c r="D529" s="7"/>
      <c r="E529" s="5" t="str">
        <f>VLOOKUP($D528,PRECIOS_REFERENCIAS!A$3:D$48,3,FALSE)</f>
        <v xml:space="preserve">SIMATIC S7-1200,  Módulo SM1222 //6ES7222-1BH32-0XB0 </v>
      </c>
      <c r="F529" s="7"/>
      <c r="G529" s="7"/>
      <c r="I529" s="6"/>
    </row>
    <row r="530" spans="1:9" hidden="1" outlineLevel="2">
      <c r="A530" s="24" t="s">
        <v>353</v>
      </c>
      <c r="B530" s="2" t="s">
        <v>20</v>
      </c>
      <c r="C530" s="2" t="s">
        <v>21</v>
      </c>
      <c r="D530" s="2" t="s">
        <v>41</v>
      </c>
      <c r="E530" s="39" t="str">
        <f>VLOOKUP($D530,PRECIOS_REFERENCIAS!A$3:D$90,2,FALSE)</f>
        <v>INSTALACION SD</v>
      </c>
      <c r="F530" s="3">
        <f>F528+1</f>
        <v>4</v>
      </c>
      <c r="G530" s="2" t="s">
        <v>18</v>
      </c>
      <c r="H530" s="40">
        <f>VLOOKUP($D530,PRECIOS_REFERENCIAS!A$3:D$90,4,FALSE)</f>
        <v>162.83522293745065</v>
      </c>
      <c r="I530" s="6">
        <f t="shared" ref="I530" si="27">H530*F530</f>
        <v>651.34089174980261</v>
      </c>
    </row>
    <row r="531" spans="1:9" hidden="1" outlineLevel="2">
      <c r="A531" s="23"/>
      <c r="B531" s="2"/>
      <c r="C531" s="2"/>
      <c r="D531" s="2"/>
      <c r="E531" s="5" t="str">
        <f>VLOOKUP($D530,PRECIOS_REFERENCIAS!A$3:D$90,3,FALSE)</f>
        <v>SUSTITUCIÓN DE MÓDULO DE E/S DIGITALES DE PLC EXISTENTE POR NUEVO MÓDULO DE PLC DEFINIDO. SALIDA DIGITAL 16</v>
      </c>
      <c r="F531" s="3"/>
      <c r="G531" s="2"/>
      <c r="H531" s="40"/>
      <c r="I531" s="6"/>
    </row>
    <row r="532" spans="1:9" hidden="1" outlineLevel="2">
      <c r="A532" s="24" t="s">
        <v>354</v>
      </c>
      <c r="B532" s="2" t="s">
        <v>114</v>
      </c>
      <c r="C532" s="2" t="s">
        <v>16</v>
      </c>
      <c r="D532" s="2" t="s">
        <v>114</v>
      </c>
      <c r="E532" s="39" t="str">
        <f>VLOOKUP($D532,PRECIOS_REFERENCIAS!A$3:D$48,2,FALSE)</f>
        <v>SUMINISTRO MÓDULO DE 8 ENTRADAS ANALÓGICAS</v>
      </c>
      <c r="F532" s="3">
        <v>2</v>
      </c>
      <c r="G532" s="2" t="s">
        <v>18</v>
      </c>
      <c r="H532" s="40">
        <f>VLOOKUP($D532,PRECIOS_REFERENCIAS!A$3:D$48,4,FALSE)</f>
        <v>372.39749999999998</v>
      </c>
      <c r="I532" s="6">
        <f t="shared" ref="I532" si="28">H532*F532</f>
        <v>744.79499999999996</v>
      </c>
    </row>
    <row r="533" spans="1:9" hidden="1" outlineLevel="2">
      <c r="A533" s="23"/>
      <c r="B533" s="7"/>
      <c r="C533" s="7"/>
      <c r="D533" s="7"/>
      <c r="E533" s="5" t="str">
        <f>VLOOKUP($D532,PRECIOS_REFERENCIAS!A$3:D$48,3,FALSE)</f>
        <v xml:space="preserve">SIMATIC S7-1200,  Módulo de Entradas analógicas, SM 1231, 8 EA //6ES7231-4HF32-0XB0 </v>
      </c>
      <c r="F533" s="7"/>
      <c r="G533" s="7"/>
      <c r="I533" s="6"/>
    </row>
    <row r="534" spans="1:9" hidden="1" outlineLevel="2">
      <c r="A534" s="24" t="s">
        <v>355</v>
      </c>
      <c r="B534" s="2" t="s">
        <v>20</v>
      </c>
      <c r="C534" s="2" t="s">
        <v>21</v>
      </c>
      <c r="D534" s="2" t="s">
        <v>46</v>
      </c>
      <c r="E534" s="39" t="str">
        <f>VLOOKUP($D534,PRECIOS_REFERENCIAS!A$3:D$90,2,FALSE)</f>
        <v>INSTALACION EA</v>
      </c>
      <c r="F534" s="3">
        <v>2</v>
      </c>
      <c r="G534" s="2" t="s">
        <v>18</v>
      </c>
      <c r="H534" s="40">
        <f>VLOOKUP($D534,PRECIOS_REFERENCIAS!A$3:D$90,4,FALSE)</f>
        <v>237.18351660213608</v>
      </c>
      <c r="I534" s="6">
        <f t="shared" ref="I534" si="29">H534*F534</f>
        <v>474.36703320427216</v>
      </c>
    </row>
    <row r="535" spans="1:9" hidden="1" outlineLevel="2">
      <c r="A535" s="23"/>
      <c r="B535" s="2"/>
      <c r="C535" s="2"/>
      <c r="D535" s="2"/>
      <c r="E535" s="5" t="str">
        <f>VLOOKUP($D534,PRECIOS_REFERENCIAS!A$3:D$90,3,FALSE)</f>
        <v>SUSTITUCIÓN DE MÓDULO DE E/S ANALÓGICAS DE PLC EXISTENTE POR NUEVO MÓDULO DE PLC DEFINIDO. ENTRADA ANALÓGICAS 8</v>
      </c>
      <c r="F535" s="3"/>
      <c r="G535" s="2"/>
      <c r="H535" s="40"/>
      <c r="I535" s="6"/>
    </row>
    <row r="536" spans="1:9" hidden="1" outlineLevel="2">
      <c r="A536" s="24" t="s">
        <v>356</v>
      </c>
      <c r="B536" s="2" t="s">
        <v>20</v>
      </c>
      <c r="C536" s="2" t="s">
        <v>21</v>
      </c>
      <c r="D536" s="2" t="s">
        <v>208</v>
      </c>
      <c r="E536" s="39" t="str">
        <f>VLOOKUP($D536,PRECIOS_REFERENCIAS!A$3:D$90,2,FALSE)</f>
        <v>RETIRADA CABLE CAUDAL SEÑAL ANALOGICA</v>
      </c>
      <c r="F536" s="3">
        <v>3</v>
      </c>
      <c r="G536" s="2" t="s">
        <v>18</v>
      </c>
      <c r="H536" s="40">
        <f>VLOOKUP($D536,PRECIOS_REFERENCIAS!A$3:D$90,4,FALSE)</f>
        <v>30</v>
      </c>
      <c r="I536" s="6">
        <f>H536*F536</f>
        <v>90</v>
      </c>
    </row>
    <row r="537" spans="1:9" hidden="1" outlineLevel="2">
      <c r="A537" s="23"/>
      <c r="B537" s="2"/>
      <c r="C537" s="2"/>
      <c r="D537" s="2"/>
      <c r="E537" s="5" t="str">
        <f>VLOOKUP($D536,PRECIOS_REFERENCIAS!A$3:D$90,3,FALSE)</f>
        <v>RETIRADA DEL CABLE ANALOGICO DEL CAUDALIMETRO POR LA COMUNICACIÓN ACTUAL MODBUS</v>
      </c>
      <c r="F537" s="3"/>
      <c r="G537" s="2"/>
      <c r="H537" s="40"/>
      <c r="I537" s="6"/>
    </row>
    <row r="538" spans="1:9" hidden="1" outlineLevel="2">
      <c r="A538" s="24" t="s">
        <v>357</v>
      </c>
      <c r="B538" s="2" t="s">
        <v>210</v>
      </c>
      <c r="C538" s="2" t="s">
        <v>16</v>
      </c>
      <c r="D538" s="2" t="s">
        <v>210</v>
      </c>
      <c r="E538" s="39" t="str">
        <f>VLOOKUP($D538,PRECIOS_REFERENCIAS!A$3:D$48,2,FALSE)</f>
        <v>HMI LOCAL 4" ETHERNET Y COLOR</v>
      </c>
      <c r="F538" s="3">
        <v>1</v>
      </c>
      <c r="G538" s="2" t="s">
        <v>18</v>
      </c>
      <c r="H538" s="40">
        <f>VLOOKUP($D538,PRECIOS_REFERENCIAS!A$3:D$48,4,FALSE)</f>
        <v>297.52999999999997</v>
      </c>
      <c r="I538" s="6">
        <f t="shared" ref="I538" si="30">H538*F538</f>
        <v>297.52999999999997</v>
      </c>
    </row>
    <row r="539" spans="1:9" hidden="1" outlineLevel="2">
      <c r="A539" s="23"/>
      <c r="B539" s="2"/>
      <c r="C539" s="7"/>
      <c r="D539" s="2"/>
      <c r="E539" s="5" t="str">
        <f>VLOOKUP($D538,PRECIOS_REFERENCIAS!A$3:D$48,3,FALSE)</f>
        <v>SIMATIC HMI, KTP400 Basic, Basic Panel, Manejo con teclado/táctil, pantalla TFT de 4", 65536 colores // 6AV2123-2GB03-0AX0</v>
      </c>
      <c r="F539" s="7"/>
      <c r="G539" s="7"/>
      <c r="I539" s="6"/>
    </row>
    <row r="540" spans="1:9" hidden="1" outlineLevel="2">
      <c r="A540" s="24" t="s">
        <v>358</v>
      </c>
      <c r="B540" s="2" t="s">
        <v>20</v>
      </c>
      <c r="C540" s="2" t="s">
        <v>21</v>
      </c>
      <c r="D540" s="2" t="s">
        <v>56</v>
      </c>
      <c r="E540" s="39" t="str">
        <f>VLOOKUP($D540,PRECIOS_REFERENCIAS!A$3:D$90,2,FALSE)</f>
        <v>INSTALACION HMI</v>
      </c>
      <c r="F540" s="3">
        <f>F538</f>
        <v>1</v>
      </c>
      <c r="G540" s="2" t="s">
        <v>18</v>
      </c>
      <c r="H540" s="40">
        <f>VLOOKUP($D540,PRECIOS_REFERENCIAS!A$3:D$90,4,FALSE)</f>
        <v>125</v>
      </c>
      <c r="I540" s="6">
        <f t="shared" ref="I540" si="31">H540*F540</f>
        <v>125</v>
      </c>
    </row>
    <row r="541" spans="1:9" hidden="1" outlineLevel="2">
      <c r="A541" s="23"/>
      <c r="B541" s="2"/>
      <c r="C541" s="2"/>
      <c r="D541" s="2"/>
      <c r="E541" s="5" t="str">
        <f>VLOOKUP($D540,PRECIOS_REFERENCIAS!A$3:D$90,3,FALSE)</f>
        <v>INSTALACIÓN DE PANTALLA HMI</v>
      </c>
      <c r="F541" s="3"/>
      <c r="G541" s="2"/>
      <c r="H541" s="40"/>
      <c r="I541" s="6"/>
    </row>
    <row r="542" spans="1:9" hidden="1" outlineLevel="2">
      <c r="A542" s="24" t="s">
        <v>359</v>
      </c>
      <c r="B542" s="2" t="s">
        <v>175</v>
      </c>
      <c r="C542" s="2" t="s">
        <v>16</v>
      </c>
      <c r="D542" s="2" t="s">
        <v>176</v>
      </c>
      <c r="E542" s="39" t="str">
        <f>VLOOKUP($D542,PRECIOS_REFERENCIAS!A$3:D$48,2,FALSE)</f>
        <v>SWITCH SHDSL 4 PUERTOS + BYPASS</v>
      </c>
      <c r="F542" s="3">
        <v>1</v>
      </c>
      <c r="G542" s="2" t="s">
        <v>18</v>
      </c>
      <c r="H542" s="40">
        <f>VLOOKUP($D542,PRECIOS_REFERENCIAS!A$3:D$48,4,FALSE)</f>
        <v>1024.6500000000001</v>
      </c>
      <c r="I542" s="6">
        <f t="shared" ref="I542" si="32">H542*F542</f>
        <v>1024.6500000000001</v>
      </c>
    </row>
    <row r="543" spans="1:9" hidden="1" outlineLevel="2">
      <c r="A543" s="23"/>
      <c r="B543" s="2"/>
      <c r="C543" s="7"/>
      <c r="D543" s="2"/>
      <c r="E543" s="5" t="str">
        <f>VLOOKUP($D542,PRECIOS_REFERENCIAS!A$3:D$48,3,FALSE)</f>
        <v>SWITCH XSLAN+BP4200 O SIMILAR</v>
      </c>
      <c r="F543" s="7"/>
      <c r="G543" s="7"/>
      <c r="I543" s="6"/>
    </row>
    <row r="544" spans="1:9" hidden="1" outlineLevel="2">
      <c r="A544" s="24" t="s">
        <v>360</v>
      </c>
      <c r="B544" s="2" t="s">
        <v>20</v>
      </c>
      <c r="C544" s="2" t="s">
        <v>21</v>
      </c>
      <c r="D544" s="2" t="s">
        <v>61</v>
      </c>
      <c r="E544" s="39" t="str">
        <f>VLOOKUP($D544,PRECIOS_REFERENCIAS!A$3:D$90,2,FALSE)</f>
        <v>INSTALACION SWITCH SHDSL</v>
      </c>
      <c r="F544" s="3">
        <f>F542</f>
        <v>1</v>
      </c>
      <c r="G544" s="2" t="s">
        <v>18</v>
      </c>
      <c r="H544" s="40">
        <f>VLOOKUP($D544,PRECIOS_REFERENCIAS!A$3:D$90,4,FALSE)</f>
        <v>40</v>
      </c>
      <c r="I544" s="6">
        <f t="shared" ref="I544" si="33">H544*F544</f>
        <v>40</v>
      </c>
    </row>
    <row r="545" spans="1:9" hidden="1" outlineLevel="2">
      <c r="A545" s="23"/>
      <c r="B545" s="2"/>
      <c r="C545" s="2"/>
      <c r="D545" s="2"/>
      <c r="E545" s="5" t="str">
        <f>VLOOKUP($D544,PRECIOS_REFERENCIAS!A$3:D$90,3,FALSE)</f>
        <v>INSTALACIÓN DE ROUTER</v>
      </c>
      <c r="F545" s="3"/>
      <c r="G545" s="2"/>
      <c r="H545" s="40"/>
      <c r="I545" s="6"/>
    </row>
    <row r="546" spans="1:9" hidden="1" outlineLevel="2">
      <c r="A546" s="24" t="s">
        <v>361</v>
      </c>
      <c r="B546" s="2" t="s">
        <v>63</v>
      </c>
      <c r="C546" s="2" t="s">
        <v>16</v>
      </c>
      <c r="D546" s="2" t="s">
        <v>63</v>
      </c>
      <c r="E546" s="39" t="str">
        <f>VLOOKUP($D546,PRECIOS_REFERENCIAS!A$3:D$48,2,FALSE)</f>
        <v>DESCARGADOR DE SOBRETENSIONES LÍNEA SHDSL</v>
      </c>
      <c r="F546" s="3">
        <v>2</v>
      </c>
      <c r="G546" s="2" t="s">
        <v>18</v>
      </c>
      <c r="H546" s="40">
        <f>VLOOKUP($D546,PRECIOS_REFERENCIAS!A$3:D$48,4,FALSE)</f>
        <v>187</v>
      </c>
      <c r="I546" s="6">
        <f t="shared" ref="I546" si="34">H546*F546</f>
        <v>374</v>
      </c>
    </row>
    <row r="547" spans="1:9" hidden="1" outlineLevel="2">
      <c r="A547" s="23"/>
      <c r="B547" s="2"/>
      <c r="C547" s="7"/>
      <c r="D547" s="2"/>
      <c r="E547" s="5" t="str">
        <f>VLOOKUP($D546,PRECIOS_REFERENCIAS!A$3:D$48,3,FALSE)</f>
        <v>Equipo DT-TELE-SHDSL de Phoenix Contact con 2 puertos para conexión SHDSL</v>
      </c>
      <c r="F547" s="7"/>
      <c r="G547" s="7"/>
      <c r="I547" s="6"/>
    </row>
    <row r="548" spans="1:9" hidden="1" outlineLevel="2">
      <c r="A548" s="24" t="s">
        <v>362</v>
      </c>
      <c r="B548" s="2" t="s">
        <v>20</v>
      </c>
      <c r="C548" s="2" t="s">
        <v>21</v>
      </c>
      <c r="D548" s="2" t="s">
        <v>65</v>
      </c>
      <c r="E548" s="39" t="str">
        <f>VLOOKUP($D548,PRECIOS_REFERENCIAS!A$3:D$90,2,FALSE)</f>
        <v>INSTALACION DESCARGADOR</v>
      </c>
      <c r="F548" s="3">
        <f>F546</f>
        <v>2</v>
      </c>
      <c r="G548" s="2" t="s">
        <v>18</v>
      </c>
      <c r="H548" s="40">
        <f>VLOOKUP($D548,PRECIOS_REFERENCIAS!A$3:D$90,4,FALSE)</f>
        <v>64.403155112394401</v>
      </c>
      <c r="I548" s="6">
        <f t="shared" ref="I548" si="35">H548*F548</f>
        <v>128.8063102247888</v>
      </c>
    </row>
    <row r="549" spans="1:9" hidden="1" outlineLevel="2">
      <c r="A549" s="23"/>
      <c r="B549" s="2"/>
      <c r="C549" s="2"/>
      <c r="D549" s="2"/>
      <c r="E549" s="5" t="str">
        <f>VLOOKUP($D548,PRECIOS_REFERENCIAS!A$3:D$90,3,FALSE)</f>
        <v>INSTALACIÓN DE PROTECCIÓN CONTRA SOBRETENSIONES</v>
      </c>
      <c r="F549" s="3"/>
      <c r="G549" s="2"/>
      <c r="H549" s="40"/>
      <c r="I549" s="6"/>
    </row>
    <row r="550" spans="1:9" hidden="1" outlineLevel="2">
      <c r="A550" s="24" t="s">
        <v>363</v>
      </c>
      <c r="B550" s="2" t="s">
        <v>79</v>
      </c>
      <c r="C550" s="2" t="s">
        <v>80</v>
      </c>
      <c r="D550" s="2" t="s">
        <v>81</v>
      </c>
      <c r="E550" s="39" t="str">
        <f>VLOOKUP($D550,PRECIOS_REFERENCIAS!A$3:D$90,2,FALSE)</f>
        <v>PLANIFICACION</v>
      </c>
      <c r="F550" s="3">
        <v>1</v>
      </c>
      <c r="G550" s="2" t="s">
        <v>18</v>
      </c>
      <c r="H550" s="40">
        <f>VLOOKUP($D550,PRECIOS_REFERENCIAS!A$3:D$90,4,FALSE)</f>
        <v>40</v>
      </c>
      <c r="I550" s="6">
        <f t="shared" ref="I550" si="36">H550*F550</f>
        <v>40</v>
      </c>
    </row>
    <row r="551" spans="1:9" hidden="1" outlineLevel="2">
      <c r="A551" s="23"/>
      <c r="B551" s="2"/>
      <c r="C551" s="2"/>
      <c r="D551" s="2"/>
      <c r="E551" s="5" t="str">
        <f>VLOOKUP($D550,PRECIOS_REFERENCIAS!A$3:D$90,3,FALSE)</f>
        <v>PLANIFICACIÓN DE LOS TRABAJOS Y DESCARGA EN LOCAL DEL PROGRAMA DEL PLC</v>
      </c>
      <c r="F551" s="3"/>
      <c r="G551" s="2"/>
      <c r="H551" s="40"/>
      <c r="I551" s="6"/>
    </row>
    <row r="552" spans="1:9" hidden="1" outlineLevel="2">
      <c r="A552" s="24" t="s">
        <v>364</v>
      </c>
      <c r="B552" s="2" t="s">
        <v>83</v>
      </c>
      <c r="C552" s="2" t="s">
        <v>80</v>
      </c>
      <c r="D552" s="2" t="s">
        <v>80</v>
      </c>
      <c r="E552" s="39" t="str">
        <f>VLOOKUP($D552,PRECIOS_REFERENCIAS!A$3:D$90,2,FALSE)</f>
        <v>INGENIERIA + ESQUEMAS</v>
      </c>
      <c r="F552" s="3">
        <v>1</v>
      </c>
      <c r="G552" s="2" t="s">
        <v>18</v>
      </c>
      <c r="H552" s="40">
        <f>VLOOKUP($D552,PRECIOS_REFERENCIAS!A$3:D$90,4,FALSE)</f>
        <v>300</v>
      </c>
      <c r="I552" s="6">
        <f t="shared" ref="I552" si="37">H552*F552</f>
        <v>300</v>
      </c>
    </row>
    <row r="553" spans="1:9" ht="22.5" hidden="1" outlineLevel="2">
      <c r="A553" s="23"/>
      <c r="B553" s="2"/>
      <c r="C553" s="2"/>
      <c r="D553" s="2"/>
      <c r="E553" s="5" t="str">
        <f>VLOOKUP($D552,PRECIOS_REFERENCIAS!A$3:D$90,3,FALSE)</f>
        <v>INGENIERÍA DE ACTUALIZACIÓN DE ESQUEMAS ELÉCTRICOS. INCLUYE LA REVISIÓN LOCAL DE LOS CUADROS Y ELEMENTOS DE CONTROL, ASÍ COMO LA COMPROBACIÓN DE LAS SEÑALES DE CONTROL.</v>
      </c>
      <c r="F553" s="3"/>
      <c r="G553" s="2"/>
      <c r="H553" s="40"/>
      <c r="I553" s="6"/>
    </row>
    <row r="554" spans="1:9" hidden="1" outlineLevel="2">
      <c r="A554" s="24" t="s">
        <v>365</v>
      </c>
      <c r="B554" s="2" t="s">
        <v>88</v>
      </c>
      <c r="C554" s="2" t="s">
        <v>80</v>
      </c>
      <c r="D554" s="2" t="s">
        <v>89</v>
      </c>
      <c r="E554" s="39" t="str">
        <f>VLOOKUP($D554,PRECIOS_REFERENCIAS!A$3:D$90,2,FALSE)</f>
        <v>PROGRAMA PLC NUEVO</v>
      </c>
      <c r="F554" s="3">
        <v>1</v>
      </c>
      <c r="G554" s="2" t="s">
        <v>18</v>
      </c>
      <c r="H554" s="40">
        <f>VLOOKUP($D554,PRECIOS_REFERENCIAS!A$3:D$90,4,FALSE)</f>
        <v>407.75660964439658</v>
      </c>
      <c r="I554" s="6">
        <f t="shared" ref="I554" si="38">H554*F554</f>
        <v>407.75660964439658</v>
      </c>
    </row>
    <row r="555" spans="1:9" hidden="1" outlineLevel="2">
      <c r="A555" s="23"/>
      <c r="B555" s="2"/>
      <c r="C555" s="2"/>
      <c r="D555" s="2"/>
      <c r="E555" s="5" t="str">
        <f>VLOOKUP($D554,PRECIOS_REFERENCIAS!A$3:D$90,3,FALSE)</f>
        <v>MIGRACION DEL PROGRAMA ACTUAL A LA NUEVA PLATAFORMA DE PROGRAMACION</v>
      </c>
      <c r="I555" s="6"/>
    </row>
    <row r="556" spans="1:9" hidden="1" outlineLevel="2">
      <c r="A556" s="24" t="s">
        <v>366</v>
      </c>
      <c r="B556" s="2" t="s">
        <v>227</v>
      </c>
      <c r="C556" s="2" t="s">
        <v>80</v>
      </c>
      <c r="D556" s="2" t="s">
        <v>228</v>
      </c>
      <c r="E556" s="39" t="str">
        <f>VLOOKUP($D556,PRECIOS_REFERENCIAS!A$3:D$90,2,FALSE)</f>
        <v>PRGRAMA MODBUS REMOTA 1200</v>
      </c>
      <c r="F556" s="3">
        <v>1</v>
      </c>
      <c r="G556" s="2" t="s">
        <v>18</v>
      </c>
      <c r="H556" s="40">
        <f>VLOOKUP($D556,PRECIOS_REFERENCIAS!A$3:D$90,4,FALSE)</f>
        <v>50</v>
      </c>
      <c r="I556" s="6">
        <f>H556*F556</f>
        <v>50</v>
      </c>
    </row>
    <row r="557" spans="1:9" hidden="1" outlineLevel="2">
      <c r="A557" s="23"/>
      <c r="B557" s="2"/>
      <c r="C557" s="2"/>
      <c r="D557" s="2"/>
      <c r="E557" s="5" t="str">
        <f>VLOOKUP($D556,PRECIOS_REFERENCIAS!A$3:D$90,3,FALSE)</f>
        <v>PROGRAMACION COMUNICACIÓN MODBUS CON OS CAUDALIMETROS</v>
      </c>
      <c r="I557" s="6"/>
    </row>
    <row r="558" spans="1:9" hidden="1" outlineLevel="2">
      <c r="A558" s="24" t="s">
        <v>367</v>
      </c>
      <c r="B558" s="2" t="s">
        <v>94</v>
      </c>
      <c r="C558" s="2" t="s">
        <v>80</v>
      </c>
      <c r="D558" s="2" t="s">
        <v>95</v>
      </c>
      <c r="E558" s="39" t="str">
        <f>VLOOKUP($D558,PRECIOS_REFERENCIAS!A$3:D$90,2,FALSE)</f>
        <v>PEM REMOTA</v>
      </c>
      <c r="F558" s="3">
        <v>1</v>
      </c>
      <c r="G558" s="2" t="s">
        <v>18</v>
      </c>
      <c r="H558" s="40">
        <f>VLOOKUP($D558,PRECIOS_REFERENCIAS!A$3:D$90,4,FALSE)</f>
        <v>851.7</v>
      </c>
      <c r="I558" s="6">
        <f t="shared" ref="I558" si="39">H558*F558</f>
        <v>851.7</v>
      </c>
    </row>
    <row r="559" spans="1:9" hidden="1" outlineLevel="2">
      <c r="A559" s="23"/>
      <c r="B559" s="2"/>
      <c r="C559" s="2"/>
      <c r="D559" s="2"/>
      <c r="E559" s="5" t="str">
        <f>VLOOKUP($D558,PRECIOS_REFERENCIAS!A$3:D$90,3,FALSE)</f>
        <v>PUESTA EN MARCHA DEL PROGRAMA DE CONTROL LOCAL</v>
      </c>
      <c r="F559" s="3"/>
      <c r="G559" s="2"/>
      <c r="H559" s="40"/>
      <c r="I559" s="6"/>
    </row>
    <row r="560" spans="1:9" hidden="1" outlineLevel="2">
      <c r="A560" s="24" t="s">
        <v>368</v>
      </c>
      <c r="B560" s="2" t="s">
        <v>97</v>
      </c>
      <c r="C560" s="2" t="s">
        <v>80</v>
      </c>
      <c r="D560" s="2" t="s">
        <v>98</v>
      </c>
      <c r="E560" s="39" t="str">
        <f>VLOOKUP($D560,PRECIOS_REFERENCIAS!A$3:D$90,2,FALSE)</f>
        <v>REVISION SCADA</v>
      </c>
      <c r="F560" s="3">
        <v>1</v>
      </c>
      <c r="G560" s="2" t="s">
        <v>18</v>
      </c>
      <c r="H560" s="40">
        <f>VLOOKUP($D560,PRECIOS_REFERENCIAS!A$3:D$90,4,FALSE)</f>
        <v>60</v>
      </c>
      <c r="I560" s="6">
        <f t="shared" ref="I560" si="40">H560*F560</f>
        <v>60</v>
      </c>
    </row>
    <row r="561" spans="1:10" hidden="1" outlineLevel="2">
      <c r="A561" s="23"/>
      <c r="B561" s="2"/>
      <c r="C561" s="2"/>
      <c r="D561" s="2"/>
      <c r="E561" s="5" t="str">
        <f>VLOOKUP($D560,PRECIOS_REFERENCIAS!A$3:D$90,3,FALSE)</f>
        <v>REVISIÓN DEL PROGRAMA DE SUPERVISIÓN SCADA</v>
      </c>
      <c r="I561" s="6"/>
    </row>
    <row r="562" spans="1:10" hidden="1" outlineLevel="2">
      <c r="A562" s="24"/>
      <c r="B562" s="2"/>
      <c r="C562" s="2" t="s">
        <v>16</v>
      </c>
      <c r="D562" s="2"/>
      <c r="E562" s="76" t="str">
        <f>CONCATENATE(E499," - TOTAL HARDWARE")</f>
        <v>ER6 DEPOSITO ZUMARRAGA - TOTAL HARDWARE</v>
      </c>
      <c r="F562" s="74"/>
      <c r="G562" s="74"/>
      <c r="H562" s="74"/>
      <c r="I562" s="75">
        <f>I500+I504+I508+I512+I524+I528+I532+I538+I542+I546+I516+I510+I520</f>
        <v>5567.6806182073287</v>
      </c>
    </row>
    <row r="563" spans="1:10" hidden="1" outlineLevel="2">
      <c r="A563" s="23"/>
      <c r="B563" s="2"/>
      <c r="C563" s="2" t="s">
        <v>21</v>
      </c>
      <c r="D563" s="2"/>
      <c r="E563" s="76" t="str">
        <f>CONCATENATE(E499," -TOTAL INSTALACION")</f>
        <v>ER6 DEPOSITO ZUMARRAGA -TOTAL INSTALACION</v>
      </c>
      <c r="F563" s="74"/>
      <c r="G563" s="74"/>
      <c r="H563" s="74"/>
      <c r="I563" s="75">
        <f>I502+I506+I514+I526+I530+I534+I540+I544+I548+I518+I536+I522</f>
        <v>2596.7096490222661</v>
      </c>
    </row>
    <row r="564" spans="1:10" hidden="1" outlineLevel="2">
      <c r="A564" s="23"/>
      <c r="B564" s="2"/>
      <c r="C564" s="2" t="s">
        <v>80</v>
      </c>
      <c r="D564" s="2"/>
      <c r="E564" s="76" t="str">
        <f>CONCATENATE(E499," -TOTAL INGENIERIA")</f>
        <v>ER6 DEPOSITO ZUMARRAGA -TOTAL INGENIERIA</v>
      </c>
      <c r="F564" s="74"/>
      <c r="G564" s="74"/>
      <c r="H564" s="74"/>
      <c r="I564" s="75">
        <f>I550+I552+I554+I558+I560+I556</f>
        <v>1709.4566096443966</v>
      </c>
      <c r="J564" s="22">
        <f>SUM(I562:I564)</f>
        <v>9873.8468768739913</v>
      </c>
    </row>
    <row r="565" spans="1:10" hidden="1" outlineLevel="2">
      <c r="A565" s="24"/>
      <c r="E565" s="41" t="str">
        <f>CONCATENATE("TOTAL ",A499)</f>
        <v>TOTAL  SUBCAPÍTULO 01.09</v>
      </c>
      <c r="F565" s="41"/>
      <c r="G565" s="41"/>
      <c r="H565" s="41"/>
      <c r="I565" s="42">
        <f>SUM(I500:I561)</f>
        <v>9873.8468768739931</v>
      </c>
    </row>
    <row r="566" spans="1:10" hidden="1" outlineLevel="1">
      <c r="A566" s="44" t="s">
        <v>369</v>
      </c>
      <c r="B566" s="44"/>
      <c r="C566" s="44"/>
      <c r="D566" s="44"/>
      <c r="E566" s="43" t="s">
        <v>370</v>
      </c>
      <c r="F566" s="44"/>
      <c r="G566" s="44" t="s">
        <v>11</v>
      </c>
      <c r="H566" s="45"/>
      <c r="I566" s="64">
        <f>I634</f>
        <v>7010.3479687156478</v>
      </c>
    </row>
    <row r="567" spans="1:10" hidden="1" outlineLevel="2">
      <c r="A567" s="24" t="s">
        <v>371</v>
      </c>
      <c r="B567" s="2" t="s">
        <v>15</v>
      </c>
      <c r="C567" s="2" t="s">
        <v>16</v>
      </c>
      <c r="D567" s="2" t="s">
        <v>15</v>
      </c>
      <c r="E567" s="39" t="str">
        <f>VLOOKUP($D567,PRECIOS_REFERENCIAS!A$3:D$90,2,FALSE)</f>
        <v xml:space="preserve">CARRIL DIN </v>
      </c>
      <c r="F567" s="3">
        <v>1</v>
      </c>
      <c r="G567" s="2" t="s">
        <v>18</v>
      </c>
      <c r="H567" s="40">
        <f>VLOOKUP($D567,PRECIOS_REFERENCIAS!A$3:D$90,4,FALSE)</f>
        <v>2.6481182073295662</v>
      </c>
      <c r="I567" s="6">
        <f>H567*F567</f>
        <v>2.6481182073295662</v>
      </c>
    </row>
    <row r="568" spans="1:10" hidden="1" outlineLevel="2">
      <c r="A568" s="23"/>
      <c r="B568" s="2"/>
      <c r="C568" s="2"/>
      <c r="D568" s="2"/>
      <c r="E568" s="5" t="str">
        <f>VLOOKUP($D567,PRECIOS_REFERENCIAS!A$3:D$90,3,FALSE)</f>
        <v>CARRIL DIN PARA REMOTA S7-1200</v>
      </c>
      <c r="F568" s="3"/>
      <c r="G568" s="2"/>
      <c r="H568" s="40"/>
      <c r="I568" s="6"/>
    </row>
    <row r="569" spans="1:10" hidden="1" outlineLevel="2">
      <c r="A569" s="24" t="s">
        <v>372</v>
      </c>
      <c r="B569" s="2" t="s">
        <v>20</v>
      </c>
      <c r="C569" s="2" t="s">
        <v>21</v>
      </c>
      <c r="D569" s="2" t="s">
        <v>22</v>
      </c>
      <c r="E569" s="39" t="str">
        <f>VLOOKUP($D569,PRECIOS_REFERENCIAS!A$3:D$90,2,FALSE)</f>
        <v xml:space="preserve">INSTALACION CARRIL DIN </v>
      </c>
      <c r="F569" s="3">
        <v>1</v>
      </c>
      <c r="G569" s="2" t="s">
        <v>18</v>
      </c>
      <c r="H569" s="40">
        <f>VLOOKUP($D569,PRECIOS_REFERENCIAS!A$3:D$90,4,FALSE)</f>
        <v>35.402252939916011</v>
      </c>
      <c r="I569" s="6">
        <f>H569*F569</f>
        <v>35.402252939916011</v>
      </c>
    </row>
    <row r="570" spans="1:10" hidden="1" outlineLevel="2">
      <c r="A570" s="23"/>
      <c r="B570" s="2"/>
      <c r="C570" s="2"/>
      <c r="D570" s="2"/>
      <c r="E570" s="5" t="str">
        <f>VLOOKUP($D569,PRECIOS_REFERENCIAS!A$3:D$90,3,FALSE)</f>
        <v>SUSTITUCIÓN DE PERFIL SOPORTE DE PLC EXISTENTE POR NUEVO PERFIL DE PLC DEFINIDO, DENTRO DEL ARMARIO ELÉCTRICO ACTUAL.</v>
      </c>
      <c r="F570" s="3"/>
      <c r="G570" s="2"/>
      <c r="H570" s="40"/>
      <c r="I570" s="6"/>
    </row>
    <row r="571" spans="1:10" hidden="1" outlineLevel="2">
      <c r="A571" s="24" t="s">
        <v>373</v>
      </c>
      <c r="B571" s="2" t="s">
        <v>104</v>
      </c>
      <c r="C571" s="2" t="s">
        <v>16</v>
      </c>
      <c r="D571" s="2" t="s">
        <v>104</v>
      </c>
      <c r="E571" s="39" t="str">
        <f>VLOOKUP($D571,PRECIOS_REFERENCIAS!A$3:D$48,2,FALSE)</f>
        <v>SUMINISTRO DE CPU REMOTAS</v>
      </c>
      <c r="F571" s="3">
        <v>1</v>
      </c>
      <c r="G571" s="2" t="s">
        <v>18</v>
      </c>
      <c r="H571" s="40">
        <f>VLOOKUP($D571,PRECIOS_REFERENCIAS!A$3:D$48,4,FALSE)</f>
        <v>416.28749999999997</v>
      </c>
      <c r="I571" s="6">
        <f t="shared" ref="I571" si="41">H571*F571</f>
        <v>416.28749999999997</v>
      </c>
    </row>
    <row r="572" spans="1:10" hidden="1" outlineLevel="2">
      <c r="A572" s="23"/>
      <c r="B572" s="38"/>
      <c r="C572" s="38"/>
      <c r="D572" s="38"/>
      <c r="E572" s="5" t="str">
        <f>VLOOKUP($D571,PRECIOS_REFERENCIAS!A$3:D$48,3,FALSE)</f>
        <v>SIMATIC S7-1200 - CPU 1214C //6ES7214-1AG40-0XB0</v>
      </c>
      <c r="F572" s="7"/>
      <c r="G572" s="7"/>
      <c r="I572" s="6"/>
    </row>
    <row r="573" spans="1:10" hidden="1" outlineLevel="2">
      <c r="A573" s="24" t="s">
        <v>374</v>
      </c>
      <c r="B573" s="2" t="s">
        <v>20</v>
      </c>
      <c r="C573" s="2" t="s">
        <v>21</v>
      </c>
      <c r="D573" s="2" t="s">
        <v>28</v>
      </c>
      <c r="E573" s="39" t="str">
        <f>VLOOKUP($D573,PRECIOS_REFERENCIAS!A$3:D$90,2,FALSE)</f>
        <v>INSTALACION CPU</v>
      </c>
      <c r="F573" s="3">
        <v>1</v>
      </c>
      <c r="G573" s="2" t="s">
        <v>18</v>
      </c>
      <c r="H573" s="40">
        <f>VLOOKUP($D573,PRECIOS_REFERENCIAS!A$3:D$90,4,FALSE)</f>
        <v>123.90076030798227</v>
      </c>
      <c r="I573" s="6">
        <f t="shared" ref="I573" si="42">H573*F573</f>
        <v>123.90076030798227</v>
      </c>
    </row>
    <row r="574" spans="1:10" hidden="1" outlineLevel="2">
      <c r="A574" s="23"/>
      <c r="B574" s="2"/>
      <c r="C574" s="2"/>
      <c r="D574" s="2"/>
      <c r="E574" s="5" t="str">
        <f>VLOOKUP($D573,PRECIOS_REFERENCIAS!A$3:D$90,3,FALSE)</f>
        <v>SUSTITUCIÓN DE CPU DE PLC EXISTENTE POR NUEVA CPU DE PLC DEFINIDA</v>
      </c>
      <c r="F574" s="3"/>
      <c r="G574" s="2"/>
      <c r="H574" s="40"/>
      <c r="I574" s="6"/>
    </row>
    <row r="575" spans="1:10" hidden="1" outlineLevel="2">
      <c r="A575" s="24" t="s">
        <v>375</v>
      </c>
      <c r="B575" s="2" t="s">
        <v>153</v>
      </c>
      <c r="C575" s="2" t="s">
        <v>16</v>
      </c>
      <c r="D575" s="2" t="s">
        <v>153</v>
      </c>
      <c r="E575" s="39" t="str">
        <f>VLOOKUP($D575,PRECIOS_REFERENCIAS!A$3:D$48,2,FALSE)</f>
        <v>SUMINISTRO DE FUENTE ALIMENTACIÓN CPU REMOTAS</v>
      </c>
      <c r="F575" s="3">
        <v>1</v>
      </c>
      <c r="G575" s="2" t="s">
        <v>18</v>
      </c>
      <c r="H575" s="40">
        <f>VLOOKUP($D575,PRECIOS_REFERENCIAS!A$3:D$48,4,FALSE)</f>
        <v>180.01500000000001</v>
      </c>
      <c r="I575" s="6">
        <f t="shared" ref="I575" si="43">H575*F575</f>
        <v>180.01500000000001</v>
      </c>
    </row>
    <row r="576" spans="1:10" hidden="1" outlineLevel="2">
      <c r="A576" s="23"/>
      <c r="B576" s="7"/>
      <c r="C576" s="7"/>
      <c r="D576" s="7"/>
      <c r="E576" s="5" t="str">
        <f>VLOOKUP($D575,PRECIOS_REFERENCIAS!A$3:D$48,3,FALSE)</f>
        <v>SITOP PSU6200 24 V/10 A // 6EP3334-7SB00-3AX0    </v>
      </c>
      <c r="F576" s="7"/>
      <c r="G576" s="7"/>
      <c r="I576" s="6"/>
    </row>
    <row r="577" spans="1:9" hidden="1" outlineLevel="2">
      <c r="A577" s="24" t="s">
        <v>376</v>
      </c>
      <c r="B577" s="2" t="s">
        <v>158</v>
      </c>
      <c r="C577" s="2" t="s">
        <v>16</v>
      </c>
      <c r="D577" s="2" t="s">
        <v>159</v>
      </c>
      <c r="E577" s="39" t="str">
        <f>VLOOKUP($D577,PRECIOS_REFERENCIAS!A$3:D$90,2,FALSE)</f>
        <v>TARJETA COMUNICACIONES  S7-1200</v>
      </c>
      <c r="F577" s="3">
        <v>1</v>
      </c>
      <c r="G577" s="2" t="s">
        <v>18</v>
      </c>
      <c r="H577" s="40">
        <f>VLOOKUP($D577,PRECIOS_REFERENCIAS!A$3:D$90,4,FALSE)</f>
        <v>518.66999999999996</v>
      </c>
      <c r="I577" s="6">
        <f>H577*F577</f>
        <v>518.66999999999996</v>
      </c>
    </row>
    <row r="578" spans="1:9" hidden="1" outlineLevel="2">
      <c r="A578" s="23"/>
      <c r="B578" s="2"/>
      <c r="C578" s="38"/>
      <c r="D578" s="2"/>
      <c r="E578" s="5" t="str">
        <f>VLOOKUP($D577,PRECIOS_REFERENCIAS!A$3:D$90,3,FALSE)</f>
        <v>SIMATIC S7-1200  Modulo Ethernet CP 1243-1  //6GK7243-1BX30-0XE0</v>
      </c>
      <c r="F578" s="3"/>
      <c r="G578" s="2"/>
      <c r="H578" s="40"/>
      <c r="I578" s="6"/>
    </row>
    <row r="579" spans="1:9" hidden="1" outlineLevel="2">
      <c r="A579" s="24" t="s">
        <v>377</v>
      </c>
      <c r="B579" s="2" t="s">
        <v>20</v>
      </c>
      <c r="C579" s="2" t="s">
        <v>21</v>
      </c>
      <c r="D579" s="2" t="s">
        <v>161</v>
      </c>
      <c r="E579" s="39" t="str">
        <f>VLOOKUP($D579,PRECIOS_REFERENCIAS!A$3:D$90,2,FALSE)</f>
        <v>INSTALACION COM ADICIONAL</v>
      </c>
      <c r="F579" s="3">
        <v>1</v>
      </c>
      <c r="G579" s="2" t="s">
        <v>18</v>
      </c>
      <c r="H579" s="40">
        <f>VLOOKUP($D579,PRECIOS_REFERENCIAS!A$3:D$90,4,FALSE)</f>
        <v>40</v>
      </c>
      <c r="I579" s="6">
        <f>H579*F579</f>
        <v>40</v>
      </c>
    </row>
    <row r="580" spans="1:9" hidden="1" outlineLevel="2">
      <c r="A580" s="23"/>
      <c r="B580" s="7"/>
      <c r="C580" s="7"/>
      <c r="D580" s="7"/>
      <c r="E580" s="5" t="str">
        <f>VLOOKUP($D579,PRECIOS_REFERENCIAS!A$3:D$90,3,FALSE)</f>
        <v xml:space="preserve">INSTALACION TARJETA COMUNICACIONES ADICIONAL </v>
      </c>
      <c r="F580" s="7"/>
      <c r="G580" s="7"/>
      <c r="I580" s="6"/>
    </row>
    <row r="581" spans="1:9" hidden="1" outlineLevel="2">
      <c r="A581" s="24" t="s">
        <v>378</v>
      </c>
      <c r="B581" s="2" t="s">
        <v>196</v>
      </c>
      <c r="C581" s="2" t="s">
        <v>16</v>
      </c>
      <c r="D581" s="2" t="s">
        <v>197</v>
      </c>
      <c r="E581" s="39" t="str">
        <f>VLOOKUP($D581,PRECIOS_REFERENCIAS!A$3:D$48,2,FALSE)</f>
        <v>TARJETA COMUNICACIÓN RS485 S7-1200</v>
      </c>
      <c r="F581" s="3">
        <v>1</v>
      </c>
      <c r="G581" s="2" t="s">
        <v>18</v>
      </c>
      <c r="H581" s="40">
        <f>VLOOKUP($D581,PRECIOS_REFERENCIAS!A$3:D$48,4,FALSE)</f>
        <v>130.19999999999999</v>
      </c>
      <c r="I581" s="6">
        <f>H581*F581</f>
        <v>130.19999999999999</v>
      </c>
    </row>
    <row r="582" spans="1:9" hidden="1" outlineLevel="2">
      <c r="A582" s="23"/>
      <c r="B582" s="7"/>
      <c r="C582" s="38"/>
      <c r="D582" s="7"/>
      <c r="E582" s="5" t="str">
        <f>VLOOKUP($D581,PRECIOS_REFERENCIAS!A$3:D$48,3,FALSE)</f>
        <v>Modul de comunic. CM 1241, RS422/485  //6ES7241-1CH32-0XB0</v>
      </c>
      <c r="F582" s="7"/>
      <c r="G582" s="7"/>
      <c r="I582" s="6"/>
    </row>
    <row r="583" spans="1:9" hidden="1" outlineLevel="2">
      <c r="A583" s="24" t="s">
        <v>379</v>
      </c>
      <c r="B583" s="2" t="s">
        <v>20</v>
      </c>
      <c r="C583" s="2" t="s">
        <v>21</v>
      </c>
      <c r="D583" s="2" t="s">
        <v>199</v>
      </c>
      <c r="E583" s="39" t="str">
        <f>VLOOKUP($D583,PRECIOS_REFERENCIAS!A$3:D$90,2,FALSE)</f>
        <v>INSTALACION CABLEADO MODBUS CAUDALIMETRO</v>
      </c>
      <c r="F583" s="3">
        <v>1</v>
      </c>
      <c r="G583" s="2" t="s">
        <v>18</v>
      </c>
      <c r="H583" s="40">
        <f>VLOOKUP($D583,PRECIOS_REFERENCIAS!A$3:D$90,4,FALSE)</f>
        <v>40</v>
      </c>
      <c r="I583" s="6">
        <f>H583*F583</f>
        <v>40</v>
      </c>
    </row>
    <row r="584" spans="1:9" hidden="1" outlineLevel="2">
      <c r="A584" s="23"/>
      <c r="B584" s="2"/>
      <c r="C584" s="2"/>
      <c r="D584" s="2"/>
      <c r="E584" s="5" t="str">
        <f>VLOOKUP($D583,PRECIOS_REFERENCIAS!A$3:D$90,3,FALSE)</f>
        <v>INSTALACIÓN DEL CABLEADO MODUS PARA CADA CAUDALIMETRO CON COMUNICACIÓN MODBUS</v>
      </c>
      <c r="F584" s="3"/>
      <c r="G584" s="2"/>
      <c r="H584" s="40"/>
      <c r="I584" s="6"/>
    </row>
    <row r="585" spans="1:9" hidden="1" outlineLevel="2">
      <c r="A585" s="24" t="s">
        <v>380</v>
      </c>
      <c r="B585" s="2" t="s">
        <v>201</v>
      </c>
      <c r="C585" s="2" t="s">
        <v>16</v>
      </c>
      <c r="D585" s="2" t="s">
        <v>202</v>
      </c>
      <c r="E585" s="39" t="str">
        <f>VLOOKUP($D585,PRECIOS_REFERENCIAS!A$3:D$48,2,FALSE)</f>
        <v>TARJETA COMUNICACIÓN MODBUS CAUDALIMETRO</v>
      </c>
      <c r="F585" s="3">
        <f>F583</f>
        <v>1</v>
      </c>
      <c r="G585" s="2" t="s">
        <v>18</v>
      </c>
      <c r="H585" s="40">
        <f>VLOOKUP($D585,PRECIOS_REFERENCIAS!A$3:D$48,4,FALSE)</f>
        <v>183.48750000000001</v>
      </c>
      <c r="I585" s="6">
        <f>H585*F585</f>
        <v>183.48750000000001</v>
      </c>
    </row>
    <row r="586" spans="1:9" hidden="1" outlineLevel="2">
      <c r="A586" s="23"/>
      <c r="B586" s="7"/>
      <c r="C586" s="38"/>
      <c r="D586" s="7"/>
      <c r="E586" s="5" t="str">
        <f>VLOOKUP($D585,PRECIOS_REFERENCIAS!A$3:D$48,3,FALSE)</f>
        <v>TARJETA MODBUS RTU/RS485 para caudalímetro MAG 6000 // FDK:085U0234</v>
      </c>
      <c r="F586" s="7"/>
      <c r="G586" s="7"/>
      <c r="I586" s="6"/>
    </row>
    <row r="587" spans="1:9" hidden="1" outlineLevel="2">
      <c r="A587" s="24" t="s">
        <v>381</v>
      </c>
      <c r="B587" s="2" t="s">
        <v>20</v>
      </c>
      <c r="C587" s="2" t="s">
        <v>21</v>
      </c>
      <c r="D587" s="2" t="s">
        <v>204</v>
      </c>
      <c r="E587" s="39" t="str">
        <f>VLOOKUP($D587,PRECIOS_REFERENCIAS!A$3:D$90,2,FALSE)</f>
        <v>INSTALACION TARJETA MODBUS CAUDALIMETRO</v>
      </c>
      <c r="F587" s="3">
        <f>F585</f>
        <v>1</v>
      </c>
      <c r="G587" s="2" t="s">
        <v>18</v>
      </c>
      <c r="H587" s="40">
        <f>VLOOKUP($D587,PRECIOS_REFERENCIAS!A$3:D$90,4,FALSE)</f>
        <v>40</v>
      </c>
      <c r="I587" s="6">
        <f>H587*F587</f>
        <v>40</v>
      </c>
    </row>
    <row r="588" spans="1:9" hidden="1" outlineLevel="2">
      <c r="A588" s="23"/>
      <c r="B588" s="2"/>
      <c r="C588" s="2"/>
      <c r="D588" s="2"/>
      <c r="E588" s="5" t="str">
        <f>VLOOKUP($D587,PRECIOS_REFERENCIAS!A$3:D$90,3,FALSE)</f>
        <v>INSTALACIÓN DE LA TARJETA DE MODBUS EN EL CAUDALIMETRO</v>
      </c>
      <c r="F588" s="3"/>
      <c r="G588" s="2"/>
      <c r="H588" s="40"/>
      <c r="I588" s="6"/>
    </row>
    <row r="589" spans="1:9" hidden="1" outlineLevel="2">
      <c r="A589" s="24" t="s">
        <v>382</v>
      </c>
      <c r="B589" s="2" t="s">
        <v>20</v>
      </c>
      <c r="C589" s="2" t="s">
        <v>21</v>
      </c>
      <c r="D589" s="2" t="s">
        <v>35</v>
      </c>
      <c r="E589" s="39" t="str">
        <f>VLOOKUP($D589,PRECIOS_REFERENCIAS!A$3:D$90,2,FALSE)</f>
        <v>INSTALACION ED</v>
      </c>
      <c r="F589" s="3">
        <v>1</v>
      </c>
      <c r="G589" s="2" t="s">
        <v>18</v>
      </c>
      <c r="H589" s="40">
        <f>VLOOKUP($D589,PRECIOS_REFERENCIAS!A$3:D$90,4,FALSE)</f>
        <v>161.97310014887609</v>
      </c>
      <c r="I589" s="6">
        <f t="shared" ref="I589" si="44">H589*F589</f>
        <v>161.97310014887609</v>
      </c>
    </row>
    <row r="590" spans="1:9" hidden="1" outlineLevel="2">
      <c r="A590" s="23"/>
      <c r="B590" s="2"/>
      <c r="C590" s="2"/>
      <c r="D590" s="2"/>
      <c r="E590" s="5" t="str">
        <f>VLOOKUP($D589,PRECIOS_REFERENCIAS!A$3:D$90,3,FALSE)</f>
        <v>SUSTITUCIÓN DE MÓDULO DE E/S DIGITALES DE PLC EXISTENTE POR NUEVO MÓDULO DE PLC DEFINIDO. ENTRADA DIGITAL 16</v>
      </c>
      <c r="F590" s="3"/>
      <c r="G590" s="2"/>
      <c r="H590" s="40"/>
      <c r="I590" s="6"/>
    </row>
    <row r="591" spans="1:9" hidden="1" outlineLevel="2">
      <c r="A591" s="24" t="s">
        <v>383</v>
      </c>
      <c r="B591" s="2" t="s">
        <v>114</v>
      </c>
      <c r="C591" s="2" t="s">
        <v>16</v>
      </c>
      <c r="D591" s="2" t="s">
        <v>114</v>
      </c>
      <c r="E591" s="39" t="str">
        <f>VLOOKUP($D591,PRECIOS_REFERENCIAS!A$3:D$48,2,FALSE)</f>
        <v>SUMINISTRO MÓDULO DE 8 ENTRADAS ANALÓGICAS</v>
      </c>
      <c r="F591" s="3">
        <v>1</v>
      </c>
      <c r="G591" s="2" t="s">
        <v>18</v>
      </c>
      <c r="H591" s="40">
        <f>VLOOKUP($D591,PRECIOS_REFERENCIAS!A$3:D$48,4,FALSE)</f>
        <v>372.39749999999998</v>
      </c>
      <c r="I591" s="6">
        <f t="shared" ref="I591" si="45">H591*F591</f>
        <v>372.39749999999998</v>
      </c>
    </row>
    <row r="592" spans="1:9" hidden="1" outlineLevel="2">
      <c r="A592" s="23"/>
      <c r="B592" s="7"/>
      <c r="C592" s="38"/>
      <c r="D592" s="7"/>
      <c r="E592" s="5" t="str">
        <f>VLOOKUP($D591,PRECIOS_REFERENCIAS!A$3:D$48,3,FALSE)</f>
        <v xml:space="preserve">SIMATIC S7-1200,  Módulo de Entradas analógicas, SM 1231, 8 EA //6ES7231-4HF32-0XB0 </v>
      </c>
      <c r="F592" s="7"/>
      <c r="G592" s="7"/>
      <c r="I592" s="6"/>
    </row>
    <row r="593" spans="1:9" hidden="1" outlineLevel="2">
      <c r="A593" s="24" t="s">
        <v>384</v>
      </c>
      <c r="B593" s="2" t="s">
        <v>20</v>
      </c>
      <c r="C593" s="2" t="s">
        <v>21</v>
      </c>
      <c r="D593" s="2" t="s">
        <v>46</v>
      </c>
      <c r="E593" s="39" t="str">
        <f>VLOOKUP($D593,PRECIOS_REFERENCIAS!A$3:D$90,2,FALSE)</f>
        <v>INSTALACION EA</v>
      </c>
      <c r="F593" s="3">
        <v>2</v>
      </c>
      <c r="G593" s="2" t="s">
        <v>18</v>
      </c>
      <c r="H593" s="40">
        <f>VLOOKUP($D593,PRECIOS_REFERENCIAS!A$3:D$90,4,FALSE)</f>
        <v>237.18351660213608</v>
      </c>
      <c r="I593" s="6">
        <f t="shared" ref="I593" si="46">H593*F593</f>
        <v>474.36703320427216</v>
      </c>
    </row>
    <row r="594" spans="1:9" hidden="1" outlineLevel="2">
      <c r="A594" s="23"/>
      <c r="B594" s="2"/>
      <c r="C594" s="2"/>
      <c r="D594" s="2"/>
      <c r="E594" s="5" t="str">
        <f>VLOOKUP($D593,PRECIOS_REFERENCIAS!A$3:D$90,3,FALSE)</f>
        <v>SUSTITUCIÓN DE MÓDULO DE E/S ANALÓGICAS DE PLC EXISTENTE POR NUEVO MÓDULO DE PLC DEFINIDO. ENTRADA ANALÓGICAS 8</v>
      </c>
      <c r="F594" s="3"/>
      <c r="G594" s="2"/>
      <c r="H594" s="40"/>
      <c r="I594" s="6"/>
    </row>
    <row r="595" spans="1:9" hidden="1" outlineLevel="2">
      <c r="A595" s="24" t="s">
        <v>385</v>
      </c>
      <c r="B595" s="2" t="s">
        <v>210</v>
      </c>
      <c r="C595" s="2" t="s">
        <v>16</v>
      </c>
      <c r="D595" s="2" t="s">
        <v>210</v>
      </c>
      <c r="E595" s="39" t="str">
        <f>VLOOKUP($D595,PRECIOS_REFERENCIAS!A$3:D$48,2,FALSE)</f>
        <v>HMI LOCAL 4" ETHERNET Y COLOR</v>
      </c>
      <c r="F595" s="3">
        <v>1</v>
      </c>
      <c r="G595" s="2" t="s">
        <v>18</v>
      </c>
      <c r="H595" s="40">
        <f>VLOOKUP($D595,PRECIOS_REFERENCIAS!A$3:D$48,4,FALSE)</f>
        <v>297.52999999999997</v>
      </c>
      <c r="I595" s="6">
        <f t="shared" ref="I595" si="47">H595*F595</f>
        <v>297.52999999999997</v>
      </c>
    </row>
    <row r="596" spans="1:9" hidden="1" outlineLevel="2">
      <c r="A596" s="23"/>
      <c r="B596" s="2"/>
      <c r="C596" s="38"/>
      <c r="D596" s="2"/>
      <c r="E596" s="5" t="str">
        <f>VLOOKUP($D595,PRECIOS_REFERENCIAS!A$3:D$48,3,FALSE)</f>
        <v>SIMATIC HMI, KTP400 Basic, Basic Panel, Manejo con teclado/táctil, pantalla TFT de 4", 65536 colores // 6AV2123-2GB03-0AX0</v>
      </c>
      <c r="F596" s="7"/>
      <c r="G596" s="7"/>
      <c r="I596" s="6"/>
    </row>
    <row r="597" spans="1:9" hidden="1" outlineLevel="2">
      <c r="A597" s="24" t="s">
        <v>386</v>
      </c>
      <c r="B597" s="2" t="s">
        <v>20</v>
      </c>
      <c r="C597" s="2" t="s">
        <v>21</v>
      </c>
      <c r="D597" s="2" t="s">
        <v>56</v>
      </c>
      <c r="E597" s="39" t="str">
        <f>VLOOKUP($D597,PRECIOS_REFERENCIAS!A$3:D$90,2,FALSE)</f>
        <v>INSTALACION HMI</v>
      </c>
      <c r="F597" s="3">
        <f>F595</f>
        <v>1</v>
      </c>
      <c r="G597" s="2" t="s">
        <v>18</v>
      </c>
      <c r="H597" s="40">
        <f>VLOOKUP($D597,PRECIOS_REFERENCIAS!A$3:D$90,4,FALSE)</f>
        <v>125</v>
      </c>
      <c r="I597" s="6">
        <f t="shared" ref="I597" si="48">H597*F597</f>
        <v>125</v>
      </c>
    </row>
    <row r="598" spans="1:9" hidden="1" outlineLevel="2">
      <c r="A598" s="23"/>
      <c r="B598" s="2"/>
      <c r="C598" s="2"/>
      <c r="D598" s="2"/>
      <c r="E598" s="5" t="str">
        <f>VLOOKUP($D597,PRECIOS_REFERENCIAS!A$3:D$90,3,FALSE)</f>
        <v>INSTALACIÓN DE PANTALLA HMI</v>
      </c>
      <c r="F598" s="3"/>
      <c r="G598" s="2"/>
      <c r="H598" s="40"/>
      <c r="I598" s="6"/>
    </row>
    <row r="599" spans="1:9" hidden="1" outlineLevel="2">
      <c r="A599" s="24" t="s">
        <v>387</v>
      </c>
      <c r="B599" s="2" t="s">
        <v>58</v>
      </c>
      <c r="C599" s="2" t="s">
        <v>16</v>
      </c>
      <c r="D599" s="2" t="s">
        <v>59</v>
      </c>
      <c r="E599" s="39" t="str">
        <f>VLOOKUP($D599,PRECIOS_REFERENCIAS!A$3:D$48,2,FALSE)</f>
        <v xml:space="preserve">SWITCH SHDSL 1 PUERTO </v>
      </c>
      <c r="F599" s="3">
        <v>1</v>
      </c>
      <c r="G599" s="2" t="s">
        <v>18</v>
      </c>
      <c r="H599" s="40">
        <f>VLOOKUP($D599,PRECIOS_REFERENCIAS!A$3:D$48,4,FALSE)</f>
        <v>828</v>
      </c>
      <c r="I599" s="6">
        <f t="shared" ref="I599" si="49">H599*F599</f>
        <v>828</v>
      </c>
    </row>
    <row r="600" spans="1:9" hidden="1" outlineLevel="2">
      <c r="A600" s="23"/>
      <c r="B600" s="2"/>
      <c r="C600" s="38"/>
      <c r="D600" s="2"/>
      <c r="E600" s="5" t="str">
        <f>VLOOKUP($D599,PRECIOS_REFERENCIAS!A$3:D$48,3,FALSE)</f>
        <v>SWITCH XSLAN+1400 O SIMILAR</v>
      </c>
      <c r="F600" s="7"/>
      <c r="G600" s="7"/>
      <c r="I600" s="6"/>
    </row>
    <row r="601" spans="1:9" hidden="1" outlineLevel="2">
      <c r="A601" s="24" t="s">
        <v>388</v>
      </c>
      <c r="B601" s="2" t="s">
        <v>20</v>
      </c>
      <c r="C601" s="2" t="s">
        <v>21</v>
      </c>
      <c r="D601" s="2" t="s">
        <v>61</v>
      </c>
      <c r="E601" s="39" t="str">
        <f>VLOOKUP($D601,PRECIOS_REFERENCIAS!A$3:D$90,2,FALSE)</f>
        <v>INSTALACION SWITCH SHDSL</v>
      </c>
      <c r="F601" s="3">
        <f>F599</f>
        <v>1</v>
      </c>
      <c r="G601" s="2" t="s">
        <v>18</v>
      </c>
      <c r="H601" s="40">
        <f>VLOOKUP($D601,PRECIOS_REFERENCIAS!A$3:D$90,4,FALSE)</f>
        <v>40</v>
      </c>
      <c r="I601" s="6">
        <f t="shared" ref="I601" si="50">H601*F601</f>
        <v>40</v>
      </c>
    </row>
    <row r="602" spans="1:9" hidden="1" outlineLevel="2">
      <c r="A602" s="23"/>
      <c r="B602" s="2"/>
      <c r="C602" s="2"/>
      <c r="D602" s="2"/>
      <c r="E602" s="5" t="str">
        <f>VLOOKUP($D601,PRECIOS_REFERENCIAS!A$3:D$90,3,FALSE)</f>
        <v>INSTALACIÓN DE ROUTER</v>
      </c>
      <c r="F602" s="3"/>
      <c r="G602" s="2"/>
      <c r="H602" s="40"/>
      <c r="I602" s="6"/>
    </row>
    <row r="603" spans="1:9" hidden="1" outlineLevel="2">
      <c r="A603" s="24" t="s">
        <v>389</v>
      </c>
      <c r="B603" s="2" t="s">
        <v>63</v>
      </c>
      <c r="C603" s="2" t="s">
        <v>16</v>
      </c>
      <c r="D603" s="2" t="s">
        <v>63</v>
      </c>
      <c r="E603" s="39" t="str">
        <f>VLOOKUP($D603,PRECIOS_REFERENCIAS!A$3:D$48,2,FALSE)</f>
        <v>DESCARGADOR DE SOBRETENSIONES LÍNEA SHDSL</v>
      </c>
      <c r="F603" s="3">
        <v>1</v>
      </c>
      <c r="G603" s="2" t="s">
        <v>18</v>
      </c>
      <c r="H603" s="40">
        <f>VLOOKUP($D603,PRECIOS_REFERENCIAS!A$3:D$48,4,FALSE)</f>
        <v>187</v>
      </c>
      <c r="I603" s="6">
        <f t="shared" ref="I603" si="51">H603*F603</f>
        <v>187</v>
      </c>
    </row>
    <row r="604" spans="1:9" hidden="1" outlineLevel="2">
      <c r="A604" s="23"/>
      <c r="B604" s="2"/>
      <c r="C604" s="38"/>
      <c r="D604" s="2"/>
      <c r="E604" s="5" t="str">
        <f>VLOOKUP($D603,PRECIOS_REFERENCIAS!A$3:D$48,3,FALSE)</f>
        <v>Equipo DT-TELE-SHDSL de Phoenix Contact con 2 puertos para conexión SHDSL</v>
      </c>
      <c r="F604" s="7"/>
      <c r="G604" s="7"/>
      <c r="I604" s="6"/>
    </row>
    <row r="605" spans="1:9" hidden="1" outlineLevel="2">
      <c r="A605" s="24" t="s">
        <v>390</v>
      </c>
      <c r="B605" s="2" t="s">
        <v>20</v>
      </c>
      <c r="C605" s="2" t="s">
        <v>21</v>
      </c>
      <c r="D605" s="2" t="s">
        <v>65</v>
      </c>
      <c r="E605" s="39" t="str">
        <f>VLOOKUP($D605,PRECIOS_REFERENCIAS!A$3:D$90,2,FALSE)</f>
        <v>INSTALACION DESCARGADOR</v>
      </c>
      <c r="F605" s="3">
        <f>F603</f>
        <v>1</v>
      </c>
      <c r="G605" s="2" t="s">
        <v>18</v>
      </c>
      <c r="H605" s="40">
        <f>VLOOKUP($D605,PRECIOS_REFERENCIAS!A$3:D$90,4,FALSE)</f>
        <v>64.403155112394401</v>
      </c>
      <c r="I605" s="6">
        <f t="shared" ref="I605" si="52">H605*F605</f>
        <v>64.403155112394401</v>
      </c>
    </row>
    <row r="606" spans="1:9" hidden="1" outlineLevel="2">
      <c r="A606" s="23"/>
      <c r="B606" s="2"/>
      <c r="C606" s="2"/>
      <c r="D606" s="2"/>
      <c r="E606" s="5" t="str">
        <f>VLOOKUP($D605,PRECIOS_REFERENCIAS!A$3:D$90,3,FALSE)</f>
        <v>INSTALACIÓN DE PROTECCIÓN CONTRA SOBRETENSIONES</v>
      </c>
      <c r="F606" s="3"/>
      <c r="G606" s="2"/>
      <c r="H606" s="40"/>
      <c r="I606" s="6"/>
    </row>
    <row r="607" spans="1:9" hidden="1" outlineLevel="2">
      <c r="A607" s="24" t="s">
        <v>391</v>
      </c>
      <c r="B607" s="2" t="s">
        <v>67</v>
      </c>
      <c r="C607" s="2" t="s">
        <v>16</v>
      </c>
      <c r="D607" s="2" t="s">
        <v>67</v>
      </c>
      <c r="E607" s="39" t="str">
        <f>VLOOKUP($D607,PRECIOS_REFERENCIAS!A$3:D$90,2,FALSE)</f>
        <v>ROUTER VPN 4G</v>
      </c>
      <c r="F607" s="3">
        <v>1</v>
      </c>
      <c r="G607" s="2" t="s">
        <v>18</v>
      </c>
      <c r="H607" s="40">
        <f>VLOOKUP($D607,PRECIOS_REFERENCIAS!A$3:D$90,4,FALSE)</f>
        <v>560.25</v>
      </c>
      <c r="I607" s="6">
        <f>H607*F607</f>
        <v>560.25</v>
      </c>
    </row>
    <row r="608" spans="1:9" hidden="1" outlineLevel="2">
      <c r="A608" s="23"/>
      <c r="B608" s="2"/>
      <c r="C608" s="38"/>
      <c r="D608" s="2"/>
      <c r="E608" s="5" t="str">
        <f>VLOOKUP($D607,PRECIOS_REFERENCIAS!A$3:D$90,3,FALSE)</f>
        <v>ROUTER IPL-C-100-LW O SIMILAR</v>
      </c>
      <c r="F608" s="7"/>
      <c r="G608" s="7"/>
      <c r="H608" s="40"/>
      <c r="I608" s="6"/>
    </row>
    <row r="609" spans="1:9" hidden="1" outlineLevel="2">
      <c r="A609" s="24" t="s">
        <v>392</v>
      </c>
      <c r="B609" s="2" t="s">
        <v>20</v>
      </c>
      <c r="C609" s="2" t="s">
        <v>21</v>
      </c>
      <c r="D609" s="2" t="s">
        <v>69</v>
      </c>
      <c r="E609" s="39" t="str">
        <f>VLOOKUP($D609,PRECIOS_REFERENCIAS!A$3:D$90,2,FALSE)</f>
        <v>INSTALACION ROUTER 4G</v>
      </c>
      <c r="F609" s="3">
        <f>F607</f>
        <v>1</v>
      </c>
      <c r="G609" s="2" t="s">
        <v>18</v>
      </c>
      <c r="H609" s="40">
        <f>VLOOKUP($D609,PRECIOS_REFERENCIAS!A$3:D$90,4,FALSE)</f>
        <v>40</v>
      </c>
      <c r="I609" s="6">
        <f>H609*F609</f>
        <v>40</v>
      </c>
    </row>
    <row r="610" spans="1:9" hidden="1" outlineLevel="2">
      <c r="A610" s="23"/>
      <c r="B610" s="2"/>
      <c r="C610" s="2"/>
      <c r="D610" s="2"/>
      <c r="E610" s="5" t="str">
        <f>VLOOKUP($D609,PRECIOS_REFERENCIAS!A$3:D$90,3,FALSE)</f>
        <v>INSTALACIÓN DE ROUTER 4G</v>
      </c>
      <c r="F610" s="3"/>
      <c r="G610" s="2"/>
      <c r="I610" s="6"/>
    </row>
    <row r="611" spans="1:9" hidden="1" outlineLevel="2">
      <c r="A611" s="24" t="s">
        <v>393</v>
      </c>
      <c r="B611" s="2" t="s">
        <v>71</v>
      </c>
      <c r="C611" s="2" t="s">
        <v>16</v>
      </c>
      <c r="D611" s="2" t="s">
        <v>71</v>
      </c>
      <c r="E611" s="39" t="str">
        <f>VLOOKUP($D611,PRECIOS_REFERENCIAS!A$3:D$90,2,FALSE)</f>
        <v>ANTENA 4G CON CABLE DE 5 METROS Y KIT MONTAJE ANTENA</v>
      </c>
      <c r="F611" s="3">
        <v>1</v>
      </c>
      <c r="G611" s="2" t="s">
        <v>18</v>
      </c>
      <c r="H611" s="40">
        <f>VLOOKUP($D611,PRECIOS_REFERENCIAS!A$3:D$90,4,FALSE)</f>
        <v>152.67857142857142</v>
      </c>
      <c r="I611" s="6">
        <f>H611*F611</f>
        <v>152.67857142857142</v>
      </c>
    </row>
    <row r="612" spans="1:9" hidden="1" outlineLevel="2">
      <c r="A612" s="23"/>
      <c r="C612" s="38"/>
      <c r="E612" s="5" t="str">
        <f>VLOOKUP($D611,PRECIOS_REFERENCIAS!A$3:D$90,3,FALSE)</f>
        <v>ANTENA 310 + KIT MONTAJE ANTENA 310</v>
      </c>
      <c r="I612" s="6"/>
    </row>
    <row r="613" spans="1:9" hidden="1" outlineLevel="2">
      <c r="A613" s="24" t="s">
        <v>394</v>
      </c>
      <c r="B613" s="2" t="s">
        <v>20</v>
      </c>
      <c r="C613" s="2" t="s">
        <v>21</v>
      </c>
      <c r="D613" s="2" t="s">
        <v>73</v>
      </c>
      <c r="E613" s="39" t="str">
        <f>VLOOKUP($D613,PRECIOS_REFERENCIAS!A$3:D$90,2,FALSE)</f>
        <v>INSTALACION ANTENA EXTERIOR</v>
      </c>
      <c r="F613" s="3">
        <f>F611</f>
        <v>1</v>
      </c>
      <c r="G613" s="2" t="s">
        <v>18</v>
      </c>
      <c r="H613" s="40">
        <f>VLOOKUP($D613,PRECIOS_REFERENCIAS!A$3:D$90,4,FALSE)</f>
        <v>149.03086772191051</v>
      </c>
      <c r="I613" s="6">
        <f>H613*F613</f>
        <v>149.03086772191051</v>
      </c>
    </row>
    <row r="614" spans="1:9" hidden="1" outlineLevel="2">
      <c r="A614" s="23"/>
      <c r="B614" s="2"/>
      <c r="C614" s="2"/>
      <c r="D614" s="2"/>
      <c r="E614" s="5" t="str">
        <f>VLOOKUP($D613,PRECIOS_REFERENCIAS!A$3:D$90,3,FALSE)</f>
        <v>INSTALACIÓN DE ANTENA EXTERIOR + KIT</v>
      </c>
      <c r="F614" s="3"/>
      <c r="G614" s="2"/>
      <c r="H614" s="40"/>
      <c r="I614" s="6"/>
    </row>
    <row r="615" spans="1:9" hidden="1" outlineLevel="2">
      <c r="A615" s="24" t="s">
        <v>395</v>
      </c>
      <c r="B615" s="2" t="s">
        <v>75</v>
      </c>
      <c r="C615" s="2" t="s">
        <v>16</v>
      </c>
      <c r="D615" s="2" t="s">
        <v>75</v>
      </c>
      <c r="E615" s="39" t="str">
        <f>VLOOKUP($D615,PRECIOS_REFERENCIAS!A$3:D$90,2,FALSE)</f>
        <v>SUMINISTRO SWITCH 5P</v>
      </c>
      <c r="F615" s="3">
        <v>1</v>
      </c>
      <c r="G615" s="2" t="s">
        <v>18</v>
      </c>
      <c r="H615" s="40">
        <f>VLOOKUP($D615,PRECIOS_REFERENCIAS!A$3:D$90,4,FALSE)</f>
        <v>97.65</v>
      </c>
      <c r="I615" s="6">
        <f>H615*F615</f>
        <v>97.65</v>
      </c>
    </row>
    <row r="616" spans="1:9" hidden="1" outlineLevel="2">
      <c r="A616" s="23"/>
      <c r="B616" s="2"/>
      <c r="C616" s="38"/>
      <c r="D616" s="2"/>
      <c r="E616" s="5" t="str">
        <f>VLOOKUP($D615,PRECIOS_REFERENCIAS!A$3:D$90,3,FALSE)</f>
        <v>SwitchNOGest_5x100TXRJ45 / MCSESU053FN0</v>
      </c>
      <c r="F616" s="7"/>
      <c r="G616" s="7"/>
      <c r="H616" s="40"/>
      <c r="I616" s="6"/>
    </row>
    <row r="617" spans="1:9" hidden="1" outlineLevel="2">
      <c r="A617" s="24" t="s">
        <v>396</v>
      </c>
      <c r="B617" s="2" t="s">
        <v>20</v>
      </c>
      <c r="C617" s="2" t="s">
        <v>21</v>
      </c>
      <c r="D617" s="2" t="s">
        <v>77</v>
      </c>
      <c r="E617" s="39" t="str">
        <f>VLOOKUP($D617,PRECIOS_REFERENCIAS!A$3:D$90,2,FALSE)</f>
        <v>INSTALACION SWITCH</v>
      </c>
      <c r="F617" s="3">
        <f>F615</f>
        <v>1</v>
      </c>
      <c r="G617" s="2" t="s">
        <v>18</v>
      </c>
      <c r="H617" s="40">
        <f>VLOOKUP($D617,PRECIOS_REFERENCIAS!A$3:D$90,4,FALSE)</f>
        <v>40</v>
      </c>
      <c r="I617" s="6">
        <f>H617*F617</f>
        <v>40</v>
      </c>
    </row>
    <row r="618" spans="1:9" hidden="1" outlineLevel="2">
      <c r="A618" s="23"/>
      <c r="B618" s="2"/>
      <c r="C618" s="2"/>
      <c r="D618" s="2"/>
      <c r="E618" s="5" t="str">
        <f>VLOOKUP($D617,PRECIOS_REFERENCIAS!A$3:D$90,3,FALSE)</f>
        <v>INSTALACIÓN DE SWITCH</v>
      </c>
      <c r="F618" s="3"/>
      <c r="G618" s="2"/>
      <c r="I618" s="6"/>
    </row>
    <row r="619" spans="1:9" hidden="1" outlineLevel="2">
      <c r="A619" s="24" t="s">
        <v>397</v>
      </c>
      <c r="B619" s="2" t="s">
        <v>79</v>
      </c>
      <c r="C619" s="2" t="s">
        <v>80</v>
      </c>
      <c r="D619" s="2" t="s">
        <v>81</v>
      </c>
      <c r="E619" s="39" t="str">
        <f>VLOOKUP($D619,PRECIOS_REFERENCIAS!A$3:D$90,2,FALSE)</f>
        <v>PLANIFICACION</v>
      </c>
      <c r="F619" s="3">
        <v>1</v>
      </c>
      <c r="G619" s="2" t="s">
        <v>18</v>
      </c>
      <c r="H619" s="40">
        <f>VLOOKUP($D619,PRECIOS_REFERENCIAS!A$3:D$90,4,FALSE)</f>
        <v>40</v>
      </c>
      <c r="I619" s="6">
        <f t="shared" ref="I619" si="53">H619*F619</f>
        <v>40</v>
      </c>
    </row>
    <row r="620" spans="1:9" hidden="1" outlineLevel="2">
      <c r="A620" s="23"/>
      <c r="B620" s="2"/>
      <c r="C620" s="2"/>
      <c r="D620" s="2"/>
      <c r="E620" s="5" t="str">
        <f>VLOOKUP($D619,PRECIOS_REFERENCIAS!A$3:D$90,3,FALSE)</f>
        <v>PLANIFICACIÓN DE LOS TRABAJOS Y DESCARGA EN LOCAL DEL PROGRAMA DEL PLC</v>
      </c>
      <c r="F620" s="3"/>
      <c r="G620" s="2"/>
      <c r="H620" s="40"/>
      <c r="I620" s="6"/>
    </row>
    <row r="621" spans="1:9" hidden="1" outlineLevel="2">
      <c r="A621" s="24" t="s">
        <v>398</v>
      </c>
      <c r="B621" s="2" t="s">
        <v>83</v>
      </c>
      <c r="C621" s="2" t="s">
        <v>80</v>
      </c>
      <c r="D621" s="2" t="s">
        <v>80</v>
      </c>
      <c r="E621" s="39" t="str">
        <f>VLOOKUP($D621,PRECIOS_REFERENCIAS!A$3:D$90,2,FALSE)</f>
        <v>INGENIERIA + ESQUEMAS</v>
      </c>
      <c r="F621" s="3">
        <v>1</v>
      </c>
      <c r="G621" s="2" t="s">
        <v>18</v>
      </c>
      <c r="H621" s="40">
        <f>VLOOKUP($D621,PRECIOS_REFERENCIAS!A$3:D$90,4,FALSE)</f>
        <v>300</v>
      </c>
      <c r="I621" s="6">
        <f t="shared" ref="I621" si="54">H621*F621</f>
        <v>300</v>
      </c>
    </row>
    <row r="622" spans="1:9" ht="27.75" hidden="1" customHeight="1" outlineLevel="2">
      <c r="A622" s="23"/>
      <c r="B622" s="2"/>
      <c r="C622" s="2"/>
      <c r="D622" s="2"/>
      <c r="E622" s="5" t="str">
        <f>VLOOKUP($D621,PRECIOS_REFERENCIAS!A$3:D$90,3,FALSE)</f>
        <v>INGENIERÍA DE ACTUALIZACIÓN DE ESQUEMAS ELÉCTRICOS. INCLUYE LA REVISIÓN LOCAL DE LOS CUADROS Y ELEMENTOS DE CONTROL, ASÍ COMO LA COMPROBACIÓN DE LAS SEÑALES DE CONTROL.</v>
      </c>
      <c r="F622" s="3"/>
      <c r="G622" s="2"/>
      <c r="H622" s="40"/>
      <c r="I622" s="6"/>
    </row>
    <row r="623" spans="1:9" hidden="1" outlineLevel="2">
      <c r="A623" s="24" t="s">
        <v>399</v>
      </c>
      <c r="B623" s="2" t="s">
        <v>88</v>
      </c>
      <c r="C623" s="2" t="s">
        <v>80</v>
      </c>
      <c r="D623" s="2" t="s">
        <v>89</v>
      </c>
      <c r="E623" s="39" t="str">
        <f>VLOOKUP($D623,PRECIOS_REFERENCIAS!A$3:D$90,2,FALSE)</f>
        <v>PROGRAMA PLC NUEVO</v>
      </c>
      <c r="F623" s="3">
        <v>1</v>
      </c>
      <c r="G623" s="2" t="s">
        <v>18</v>
      </c>
      <c r="H623" s="40">
        <f>VLOOKUP($D623,PRECIOS_REFERENCIAS!A$3:D$90,4,FALSE)</f>
        <v>407.75660964439658</v>
      </c>
      <c r="I623" s="6">
        <f t="shared" ref="I623" si="55">H623*F623</f>
        <v>407.75660964439658</v>
      </c>
    </row>
    <row r="624" spans="1:9" hidden="1" outlineLevel="2">
      <c r="A624" s="23"/>
      <c r="B624" s="2"/>
      <c r="C624" s="2"/>
      <c r="D624" s="2"/>
      <c r="E624" s="5" t="str">
        <f>VLOOKUP($D623,PRECIOS_REFERENCIAS!A$3:D$90,3,FALSE)</f>
        <v>MIGRACION DEL PROGRAMA ACTUAL A LA NUEVA PLATAFORMA DE PROGRAMACION</v>
      </c>
      <c r="I624" s="6"/>
    </row>
    <row r="625" spans="1:10" hidden="1" outlineLevel="2">
      <c r="A625" s="24" t="s">
        <v>400</v>
      </c>
      <c r="B625" s="2" t="s">
        <v>227</v>
      </c>
      <c r="C625" s="2" t="s">
        <v>80</v>
      </c>
      <c r="D625" s="2" t="s">
        <v>228</v>
      </c>
      <c r="E625" s="39" t="str">
        <f>VLOOKUP($D625,PRECIOS_REFERENCIAS!A$3:D$90,2,FALSE)</f>
        <v>PRGRAMA MODBUS REMOTA 1200</v>
      </c>
      <c r="F625" s="3">
        <v>1</v>
      </c>
      <c r="G625" s="2" t="s">
        <v>18</v>
      </c>
      <c r="H625" s="40">
        <f>VLOOKUP($D625,PRECIOS_REFERENCIAS!A$3:D$90,4,FALSE)</f>
        <v>50</v>
      </c>
      <c r="I625" s="6">
        <f>H625*F625</f>
        <v>50</v>
      </c>
    </row>
    <row r="626" spans="1:10" hidden="1" outlineLevel="2">
      <c r="A626" s="23"/>
      <c r="B626" s="2"/>
      <c r="C626" s="2"/>
      <c r="D626" s="2"/>
      <c r="E626" s="5" t="str">
        <f>VLOOKUP($D625,PRECIOS_REFERENCIAS!A$3:D$90,3,FALSE)</f>
        <v>PROGRAMACION COMUNICACIÓN MODBUS CON OS CAUDALIMETROS</v>
      </c>
      <c r="I626" s="6"/>
    </row>
    <row r="627" spans="1:10" hidden="1" outlineLevel="2">
      <c r="A627" s="24" t="s">
        <v>401</v>
      </c>
      <c r="B627" s="2" t="s">
        <v>94</v>
      </c>
      <c r="C627" s="2" t="s">
        <v>80</v>
      </c>
      <c r="D627" s="2" t="s">
        <v>95</v>
      </c>
      <c r="E627" s="39" t="str">
        <f>VLOOKUP($D627,PRECIOS_REFERENCIAS!A$3:D$90,2,FALSE)</f>
        <v>PEM REMOTA</v>
      </c>
      <c r="F627" s="3">
        <v>1</v>
      </c>
      <c r="G627" s="2" t="s">
        <v>18</v>
      </c>
      <c r="H627" s="40">
        <f>VLOOKUP($D627,PRECIOS_REFERENCIAS!A$3:D$90,4,FALSE)</f>
        <v>851.7</v>
      </c>
      <c r="I627" s="6">
        <f t="shared" ref="I627" si="56">H627*F627</f>
        <v>851.7</v>
      </c>
    </row>
    <row r="628" spans="1:10" hidden="1" outlineLevel="2">
      <c r="A628" s="23"/>
      <c r="B628" s="2"/>
      <c r="C628" s="2"/>
      <c r="D628" s="2"/>
      <c r="E628" s="5" t="str">
        <f>VLOOKUP($D627,PRECIOS_REFERENCIAS!A$3:D$90,3,FALSE)</f>
        <v>PUESTA EN MARCHA DEL PROGRAMA DE CONTROL LOCAL</v>
      </c>
      <c r="F628" s="3"/>
      <c r="G628" s="2"/>
      <c r="H628" s="40"/>
      <c r="I628" s="6"/>
    </row>
    <row r="629" spans="1:10" hidden="1" outlineLevel="2">
      <c r="A629" s="24" t="s">
        <v>402</v>
      </c>
      <c r="B629" s="2" t="s">
        <v>97</v>
      </c>
      <c r="C629" s="2" t="s">
        <v>80</v>
      </c>
      <c r="D629" s="2" t="s">
        <v>98</v>
      </c>
      <c r="E629" s="39" t="str">
        <f>VLOOKUP($D629,PRECIOS_REFERENCIAS!A$3:D$90,2,FALSE)</f>
        <v>REVISION SCADA</v>
      </c>
      <c r="F629" s="3">
        <v>1</v>
      </c>
      <c r="G629" s="2" t="s">
        <v>18</v>
      </c>
      <c r="H629" s="40">
        <f>VLOOKUP($D629,PRECIOS_REFERENCIAS!A$3:D$90,4,FALSE)</f>
        <v>60</v>
      </c>
      <c r="I629" s="6">
        <f t="shared" ref="I629" si="57">H629*F629</f>
        <v>60</v>
      </c>
    </row>
    <row r="630" spans="1:10" hidden="1" outlineLevel="2">
      <c r="A630" s="23"/>
      <c r="B630" s="2"/>
      <c r="C630" s="2"/>
      <c r="D630" s="2"/>
      <c r="E630" s="5" t="str">
        <f>VLOOKUP($D629,PRECIOS_REFERENCIAS!A$3:D$90,3,FALSE)</f>
        <v>REVISIÓN DEL PROGRAMA DE SUPERVISIÓN SCADA</v>
      </c>
      <c r="I630" s="6"/>
    </row>
    <row r="631" spans="1:10" hidden="1" outlineLevel="2">
      <c r="A631" s="24"/>
      <c r="B631" s="2"/>
      <c r="C631" s="2" t="s">
        <v>16</v>
      </c>
      <c r="D631" s="2"/>
      <c r="E631" s="76" t="str">
        <f>CONCATENATE(E566," - TOTAL HARDWARE")</f>
        <v>DEPOSITO ZUMARRAGA ALTO - TOTAL HARDWARE</v>
      </c>
      <c r="F631" s="74"/>
      <c r="G631" s="74"/>
      <c r="H631" s="74"/>
      <c r="I631" s="75">
        <f>I567+I571+I575+I577+I591+I595+I599+I603+I607+I611+I615+I581+I585</f>
        <v>3926.8141896359011</v>
      </c>
    </row>
    <row r="632" spans="1:10" hidden="1" outlineLevel="2">
      <c r="A632" s="23"/>
      <c r="B632" s="2"/>
      <c r="C632" s="2" t="s">
        <v>21</v>
      </c>
      <c r="D632" s="2"/>
      <c r="E632" s="76" t="str">
        <f>CONCATENATE(E566," - TOTAL INSTALACION")</f>
        <v>DEPOSITO ZUMARRAGA ALTO - TOTAL INSTALACION</v>
      </c>
      <c r="F632" s="74"/>
      <c r="G632" s="74"/>
      <c r="H632" s="74"/>
      <c r="I632" s="75">
        <f>I569+I573+I579+I589+I593+I597+I601+I605+I609+I613+I617+I583+I587</f>
        <v>1374.0771694353514</v>
      </c>
    </row>
    <row r="633" spans="1:10" hidden="1" outlineLevel="2">
      <c r="A633" s="23"/>
      <c r="B633" s="2"/>
      <c r="C633" s="2" t="s">
        <v>80</v>
      </c>
      <c r="D633" s="2"/>
      <c r="E633" s="76" t="str">
        <f>CONCATENATE(E566," - TOTAL INGENIERIA")</f>
        <v>DEPOSITO ZUMARRAGA ALTO - TOTAL INGENIERIA</v>
      </c>
      <c r="F633" s="74"/>
      <c r="G633" s="74"/>
      <c r="H633" s="74"/>
      <c r="I633" s="75">
        <f>I619+I621+I623+I627+I629+I625</f>
        <v>1709.4566096443966</v>
      </c>
      <c r="J633" s="22">
        <f>SUM(I631:I633)</f>
        <v>7010.3479687156496</v>
      </c>
    </row>
    <row r="634" spans="1:10" hidden="1" outlineLevel="2">
      <c r="E634" s="41" t="str">
        <f>CONCATENATE("TOTAL ",A566)</f>
        <v>TOTAL  SUBCAPÍTULO 01.10</v>
      </c>
      <c r="F634" s="41"/>
      <c r="G634" s="41"/>
      <c r="H634" s="41"/>
      <c r="I634" s="42">
        <f>SUM(I567:I630)</f>
        <v>7010.3479687156478</v>
      </c>
    </row>
    <row r="635" spans="1:10" hidden="1" outlineLevel="1">
      <c r="A635" s="44" t="s">
        <v>403</v>
      </c>
      <c r="B635" s="44"/>
      <c r="C635" s="44"/>
      <c r="D635" s="44"/>
      <c r="E635" s="43" t="s">
        <v>404</v>
      </c>
      <c r="F635" s="44"/>
      <c r="G635" s="44" t="s">
        <v>11</v>
      </c>
      <c r="H635" s="45"/>
      <c r="I635" s="64">
        <f>I691</f>
        <v>7875.7283308502147</v>
      </c>
    </row>
    <row r="636" spans="1:10" hidden="1" outlineLevel="2">
      <c r="A636" s="24" t="s">
        <v>405</v>
      </c>
      <c r="B636" s="2" t="s">
        <v>15</v>
      </c>
      <c r="C636" s="2" t="s">
        <v>16</v>
      </c>
      <c r="D636" s="2" t="s">
        <v>15</v>
      </c>
      <c r="E636" s="39" t="str">
        <f>VLOOKUP($D636,PRECIOS_REFERENCIAS!A$3:D$90,2,FALSE)</f>
        <v xml:space="preserve">CARRIL DIN </v>
      </c>
      <c r="F636" s="3">
        <v>1</v>
      </c>
      <c r="G636" s="2" t="s">
        <v>18</v>
      </c>
      <c r="H636" s="40">
        <f>VLOOKUP($D636,PRECIOS_REFERENCIAS!A$3:D$90,4,FALSE)</f>
        <v>2.6481182073295662</v>
      </c>
      <c r="I636" s="6">
        <f>H636*F636</f>
        <v>2.6481182073295662</v>
      </c>
    </row>
    <row r="637" spans="1:10" hidden="1" outlineLevel="2">
      <c r="A637" s="23"/>
      <c r="B637" s="2"/>
      <c r="C637" s="2"/>
      <c r="D637" s="2"/>
      <c r="E637" s="5" t="str">
        <f>VLOOKUP($D636,PRECIOS_REFERENCIAS!A$3:D$90,3,FALSE)</f>
        <v>CARRIL DIN PARA REMOTA S7-1200</v>
      </c>
      <c r="F637" s="3"/>
      <c r="G637" s="2"/>
      <c r="H637" s="40"/>
      <c r="I637" s="6"/>
    </row>
    <row r="638" spans="1:10" hidden="1" outlineLevel="2">
      <c r="A638" s="24" t="s">
        <v>406</v>
      </c>
      <c r="B638" s="2" t="s">
        <v>20</v>
      </c>
      <c r="C638" s="2" t="s">
        <v>21</v>
      </c>
      <c r="D638" s="2" t="s">
        <v>22</v>
      </c>
      <c r="E638" s="39" t="str">
        <f>VLOOKUP($D638,PRECIOS_REFERENCIAS!A$3:D$90,2,FALSE)</f>
        <v xml:space="preserve">INSTALACION CARRIL DIN </v>
      </c>
      <c r="F638" s="3">
        <v>1</v>
      </c>
      <c r="G638" s="2" t="s">
        <v>18</v>
      </c>
      <c r="H638" s="40">
        <f>VLOOKUP($D638,PRECIOS_REFERENCIAS!A$3:D$90,4,FALSE)</f>
        <v>35.402252939916011</v>
      </c>
      <c r="I638" s="6">
        <f>H638*F638</f>
        <v>35.402252939916011</v>
      </c>
    </row>
    <row r="639" spans="1:10" hidden="1" outlineLevel="2">
      <c r="A639" s="23"/>
      <c r="B639" s="2"/>
      <c r="C639" s="2"/>
      <c r="D639" s="2"/>
      <c r="E639" s="5" t="str">
        <f>VLOOKUP($D638,PRECIOS_REFERENCIAS!A$3:D$90,3,FALSE)</f>
        <v>SUSTITUCIÓN DE PERFIL SOPORTE DE PLC EXISTENTE POR NUEVO PERFIL DE PLC DEFINIDO, DENTRO DEL ARMARIO ELÉCTRICO ACTUAL.</v>
      </c>
      <c r="F639" s="3"/>
      <c r="G639" s="2"/>
      <c r="H639" s="40"/>
      <c r="I639" s="6"/>
    </row>
    <row r="640" spans="1:10" hidden="1" outlineLevel="2">
      <c r="A640" s="24" t="s">
        <v>407</v>
      </c>
      <c r="B640" s="2" t="s">
        <v>104</v>
      </c>
      <c r="C640" s="2" t="s">
        <v>16</v>
      </c>
      <c r="D640" s="2" t="s">
        <v>104</v>
      </c>
      <c r="E640" s="39" t="str">
        <f>VLOOKUP($D640,PRECIOS_REFERENCIAS!A$3:D$48,2,FALSE)</f>
        <v>SUMINISTRO DE CPU REMOTAS</v>
      </c>
      <c r="F640" s="3">
        <v>1</v>
      </c>
      <c r="G640" s="2" t="s">
        <v>18</v>
      </c>
      <c r="H640" s="40">
        <f>VLOOKUP($D640,PRECIOS_REFERENCIAS!A$3:D$48,4,FALSE)</f>
        <v>416.28749999999997</v>
      </c>
      <c r="I640" s="6">
        <f>H640*F640</f>
        <v>416.28749999999997</v>
      </c>
    </row>
    <row r="641" spans="1:9" hidden="1" outlineLevel="2">
      <c r="A641" s="23"/>
      <c r="B641" s="38"/>
      <c r="C641" s="38"/>
      <c r="D641" s="38"/>
      <c r="E641" s="5" t="str">
        <f>VLOOKUP($D640,PRECIOS_REFERENCIAS!A$3:D$48,3,FALSE)</f>
        <v>SIMATIC S7-1200 - CPU 1214C //6ES7214-1AG40-0XB0</v>
      </c>
      <c r="F641" s="7"/>
      <c r="G641" s="7"/>
      <c r="I641" s="6"/>
    </row>
    <row r="642" spans="1:9" hidden="1" outlineLevel="2">
      <c r="A642" s="24" t="s">
        <v>408</v>
      </c>
      <c r="B642" s="2" t="s">
        <v>20</v>
      </c>
      <c r="C642" s="2" t="s">
        <v>21</v>
      </c>
      <c r="D642" s="2" t="s">
        <v>28</v>
      </c>
      <c r="E642" s="39" t="str">
        <f>VLOOKUP($D642,PRECIOS_REFERENCIAS!A$3:D$90,2,FALSE)</f>
        <v>INSTALACION CPU</v>
      </c>
      <c r="F642" s="3">
        <v>1</v>
      </c>
      <c r="G642" s="2" t="s">
        <v>18</v>
      </c>
      <c r="H642" s="40">
        <f>VLOOKUP($D642,PRECIOS_REFERENCIAS!A$3:D$90,4,FALSE)</f>
        <v>123.90076030798227</v>
      </c>
      <c r="I642" s="6">
        <f>H642*F642</f>
        <v>123.90076030798227</v>
      </c>
    </row>
    <row r="643" spans="1:9" hidden="1" outlineLevel="2">
      <c r="A643" s="23"/>
      <c r="B643" s="2"/>
      <c r="C643" s="2"/>
      <c r="D643" s="2"/>
      <c r="E643" s="5" t="str">
        <f>VLOOKUP($D642,PRECIOS_REFERENCIAS!A$3:D$90,3,FALSE)</f>
        <v>SUSTITUCIÓN DE CPU DE PLC EXISTENTE POR NUEVA CPU DE PLC DEFINIDA</v>
      </c>
      <c r="F643" s="3"/>
      <c r="G643" s="2"/>
      <c r="H643" s="40"/>
      <c r="I643" s="6"/>
    </row>
    <row r="644" spans="1:9" hidden="1" outlineLevel="2">
      <c r="A644" s="24" t="s">
        <v>409</v>
      </c>
      <c r="B644" s="2" t="s">
        <v>153</v>
      </c>
      <c r="C644" s="2" t="s">
        <v>16</v>
      </c>
      <c r="D644" s="2" t="s">
        <v>153</v>
      </c>
      <c r="E644" s="39" t="str">
        <f>VLOOKUP($D644,PRECIOS_REFERENCIAS!A$3:D$48,2,FALSE)</f>
        <v>SUMINISTRO DE FUENTE ALIMENTACIÓN CPU REMOTAS</v>
      </c>
      <c r="F644" s="3">
        <v>1</v>
      </c>
      <c r="G644" s="2" t="s">
        <v>18</v>
      </c>
      <c r="H644" s="40">
        <f>VLOOKUP($D644,PRECIOS_REFERENCIAS!A$3:D$48,4,FALSE)</f>
        <v>180.01500000000001</v>
      </c>
      <c r="I644" s="6">
        <f>H644*F644</f>
        <v>180.01500000000001</v>
      </c>
    </row>
    <row r="645" spans="1:9" hidden="1" outlineLevel="2">
      <c r="A645" s="23"/>
      <c r="B645" s="7"/>
      <c r="C645" s="7"/>
      <c r="D645" s="7"/>
      <c r="E645" s="5" t="str">
        <f>VLOOKUP($D644,PRECIOS_REFERENCIAS!A$3:D$48,3,FALSE)</f>
        <v>SITOP PSU6200 24 V/10 A // 6EP3334-7SB00-3AX0    </v>
      </c>
      <c r="F645" s="7"/>
      <c r="G645" s="7"/>
      <c r="I645" s="6"/>
    </row>
    <row r="646" spans="1:9" hidden="1" outlineLevel="2">
      <c r="A646" s="24" t="s">
        <v>410</v>
      </c>
      <c r="B646" s="2" t="s">
        <v>158</v>
      </c>
      <c r="C646" s="2" t="s">
        <v>16</v>
      </c>
      <c r="D646" s="2" t="s">
        <v>159</v>
      </c>
      <c r="E646" s="39" t="str">
        <f>VLOOKUP($D646,PRECIOS_REFERENCIAS!A$3:D$90,2,FALSE)</f>
        <v>TARJETA COMUNICACIONES  S7-1200</v>
      </c>
      <c r="F646" s="3">
        <v>1</v>
      </c>
      <c r="G646" s="2" t="s">
        <v>18</v>
      </c>
      <c r="H646" s="40">
        <f>VLOOKUP($D646,PRECIOS_REFERENCIAS!A$3:D$90,4,FALSE)</f>
        <v>518.66999999999996</v>
      </c>
      <c r="I646" s="6">
        <f>H646*F646</f>
        <v>518.66999999999996</v>
      </c>
    </row>
    <row r="647" spans="1:9" hidden="1" outlineLevel="2">
      <c r="A647" s="23"/>
      <c r="B647" s="2"/>
      <c r="C647" s="38"/>
      <c r="D647" s="2"/>
      <c r="E647" s="5" t="str">
        <f>VLOOKUP($D646,PRECIOS_REFERENCIAS!A$3:D$90,3,FALSE)</f>
        <v>SIMATIC S7-1200  Modulo Ethernet CP 1243-1  //6GK7243-1BX30-0XE0</v>
      </c>
      <c r="F647" s="3"/>
      <c r="G647" s="2"/>
      <c r="H647" s="40"/>
      <c r="I647" s="6"/>
    </row>
    <row r="648" spans="1:9" hidden="1" outlineLevel="2">
      <c r="A648" s="24" t="s">
        <v>411</v>
      </c>
      <c r="B648" s="2" t="s">
        <v>20</v>
      </c>
      <c r="C648" s="2" t="s">
        <v>21</v>
      </c>
      <c r="D648" s="2" t="s">
        <v>161</v>
      </c>
      <c r="E648" s="39" t="str">
        <f>VLOOKUP($D648,PRECIOS_REFERENCIAS!A$3:D$90,2,FALSE)</f>
        <v>INSTALACION COM ADICIONAL</v>
      </c>
      <c r="F648" s="3">
        <v>1</v>
      </c>
      <c r="G648" s="2" t="s">
        <v>18</v>
      </c>
      <c r="H648" s="40">
        <f>VLOOKUP($D648,PRECIOS_REFERENCIAS!A$3:D$90,4,FALSE)</f>
        <v>40</v>
      </c>
      <c r="I648" s="6">
        <f>H648*F648</f>
        <v>40</v>
      </c>
    </row>
    <row r="649" spans="1:9" hidden="1" outlineLevel="2">
      <c r="A649" s="23"/>
      <c r="B649" s="7"/>
      <c r="C649" s="7"/>
      <c r="D649" s="7"/>
      <c r="E649" s="5" t="str">
        <f>VLOOKUP($D648,PRECIOS_REFERENCIAS!A$3:D$90,3,FALSE)</f>
        <v xml:space="preserve">INSTALACION TARJETA COMUNICACIONES ADICIONAL </v>
      </c>
      <c r="F649" s="7"/>
      <c r="G649" s="7"/>
      <c r="I649" s="6"/>
    </row>
    <row r="650" spans="1:9" hidden="1" outlineLevel="2">
      <c r="A650" s="24" t="s">
        <v>412</v>
      </c>
      <c r="B650" s="2" t="s">
        <v>108</v>
      </c>
      <c r="C650" s="2" t="s">
        <v>16</v>
      </c>
      <c r="D650" s="2" t="s">
        <v>108</v>
      </c>
      <c r="E650" s="39" t="str">
        <f>VLOOKUP($D650,PRECIOS_REFERENCIAS!A$3:D$48,2,FALSE)</f>
        <v>SUMINISTRO MÓDULO DE 16 ENTRADAS DIGITALES</v>
      </c>
      <c r="F650" s="3">
        <v>2</v>
      </c>
      <c r="G650" s="2" t="s">
        <v>18</v>
      </c>
      <c r="H650" s="40">
        <f>VLOOKUP($D650,PRECIOS_REFERENCIAS!A$3:D$48,4,FALSE)</f>
        <v>177.54749999999999</v>
      </c>
      <c r="I650" s="6">
        <f>H650*F650</f>
        <v>355.09499999999997</v>
      </c>
    </row>
    <row r="651" spans="1:9" hidden="1" outlineLevel="2">
      <c r="A651" s="23"/>
      <c r="B651" s="7"/>
      <c r="C651" s="38"/>
      <c r="D651" s="7"/>
      <c r="E651" s="5" t="str">
        <f>VLOOKUP($D650,PRECIOS_REFERENCIAS!A$3:D$48,3,FALSE)</f>
        <v xml:space="preserve">SIMATIC S7-1200,  Módulo SM1221 //6ES7221-1BH32-0XB0 </v>
      </c>
      <c r="F651" s="7"/>
      <c r="G651" s="7"/>
      <c r="I651" s="6"/>
    </row>
    <row r="652" spans="1:9" hidden="1" outlineLevel="2">
      <c r="A652" s="24" t="s">
        <v>413</v>
      </c>
      <c r="B652" s="2" t="s">
        <v>20</v>
      </c>
      <c r="C652" s="2" t="s">
        <v>21</v>
      </c>
      <c r="D652" s="2" t="s">
        <v>35</v>
      </c>
      <c r="E652" s="39" t="str">
        <f>VLOOKUP($D652,PRECIOS_REFERENCIAS!A$3:D$90,2,FALSE)</f>
        <v>INSTALACION ED</v>
      </c>
      <c r="F652" s="3">
        <v>3</v>
      </c>
      <c r="G652" s="2" t="s">
        <v>18</v>
      </c>
      <c r="H652" s="40">
        <f>VLOOKUP($D652,PRECIOS_REFERENCIAS!A$3:D$90,4,FALSE)</f>
        <v>161.97310014887609</v>
      </c>
      <c r="I652" s="6">
        <f>H652*F652</f>
        <v>485.91930044662826</v>
      </c>
    </row>
    <row r="653" spans="1:9" hidden="1" outlineLevel="2">
      <c r="A653" s="23"/>
      <c r="B653" s="2"/>
      <c r="C653" s="2"/>
      <c r="D653" s="2"/>
      <c r="E653" s="5" t="str">
        <f>VLOOKUP($D652,PRECIOS_REFERENCIAS!A$3:D$90,3,FALSE)</f>
        <v>SUSTITUCIÓN DE MÓDULO DE E/S DIGITALES DE PLC EXISTENTE POR NUEVO MÓDULO DE PLC DEFINIDO. ENTRADA DIGITAL 16</v>
      </c>
      <c r="F653" s="3"/>
      <c r="G653" s="2"/>
      <c r="H653" s="40"/>
      <c r="I653" s="6"/>
    </row>
    <row r="654" spans="1:9" hidden="1" outlineLevel="2">
      <c r="A654" s="24" t="s">
        <v>414</v>
      </c>
      <c r="B654" s="2" t="s">
        <v>165</v>
      </c>
      <c r="C654" s="2" t="s">
        <v>16</v>
      </c>
      <c r="D654" s="2" t="s">
        <v>165</v>
      </c>
      <c r="E654" s="39" t="str">
        <f>VLOOKUP($D654,PRECIOS_REFERENCIAS!A$3:D$48,2,FALSE)</f>
        <v>SUMINISTRO MÓDULO DE 16 SALIDAS DIGITALES</v>
      </c>
      <c r="F654" s="3">
        <v>1</v>
      </c>
      <c r="G654" s="2" t="s">
        <v>18</v>
      </c>
      <c r="H654" s="40">
        <f>VLOOKUP($D654,PRECIOS_REFERENCIAS!A$3:D$48,4,FALSE)</f>
        <v>177.54749999999999</v>
      </c>
      <c r="I654" s="6">
        <f>H654*F654</f>
        <v>177.54749999999999</v>
      </c>
    </row>
    <row r="655" spans="1:9" hidden="1" outlineLevel="2">
      <c r="A655" s="23"/>
      <c r="B655" s="7"/>
      <c r="C655" s="38"/>
      <c r="D655" s="7"/>
      <c r="E655" s="5" t="str">
        <f>VLOOKUP($D654,PRECIOS_REFERENCIAS!A$3:D$48,3,FALSE)</f>
        <v xml:space="preserve">SIMATIC S7-1200,  Módulo SM1222 //6ES7222-1BH32-0XB0 </v>
      </c>
      <c r="F655" s="7"/>
      <c r="G655" s="7"/>
      <c r="I655" s="6"/>
    </row>
    <row r="656" spans="1:9" hidden="1" outlineLevel="2">
      <c r="A656" s="24" t="s">
        <v>415</v>
      </c>
      <c r="B656" s="2" t="s">
        <v>20</v>
      </c>
      <c r="C656" s="2" t="s">
        <v>21</v>
      </c>
      <c r="D656" s="2" t="s">
        <v>41</v>
      </c>
      <c r="E656" s="39" t="str">
        <f>VLOOKUP($D656,PRECIOS_REFERENCIAS!A$3:D$90,2,FALSE)</f>
        <v>INSTALACION SD</v>
      </c>
      <c r="F656" s="3">
        <v>2</v>
      </c>
      <c r="G656" s="2" t="s">
        <v>18</v>
      </c>
      <c r="H656" s="40">
        <f>VLOOKUP($D656,PRECIOS_REFERENCIAS!A$3:D$90,4,FALSE)</f>
        <v>162.83522293745065</v>
      </c>
      <c r="I656" s="6">
        <f>H656*F656</f>
        <v>325.6704458749013</v>
      </c>
    </row>
    <row r="657" spans="1:9" hidden="1" outlineLevel="2">
      <c r="A657" s="23"/>
      <c r="B657" s="2"/>
      <c r="C657" s="2"/>
      <c r="D657" s="2"/>
      <c r="E657" s="5" t="str">
        <f>VLOOKUP($D656,PRECIOS_REFERENCIAS!A$3:D$90,3,FALSE)</f>
        <v>SUSTITUCIÓN DE MÓDULO DE E/S DIGITALES DE PLC EXISTENTE POR NUEVO MÓDULO DE PLC DEFINIDO. SALIDA DIGITAL 16</v>
      </c>
      <c r="F657" s="3"/>
      <c r="G657" s="2"/>
      <c r="H657" s="40"/>
      <c r="I657" s="6"/>
    </row>
    <row r="658" spans="1:9" hidden="1" outlineLevel="2">
      <c r="A658" s="24" t="s">
        <v>416</v>
      </c>
      <c r="B658" s="2" t="s">
        <v>114</v>
      </c>
      <c r="C658" s="2" t="s">
        <v>16</v>
      </c>
      <c r="D658" s="2" t="s">
        <v>114</v>
      </c>
      <c r="E658" s="39" t="str">
        <f>VLOOKUP($D658,PRECIOS_REFERENCIAS!A$3:D$48,2,FALSE)</f>
        <v>SUMINISTRO MÓDULO DE 8 ENTRADAS ANALÓGICAS</v>
      </c>
      <c r="F658" s="3">
        <v>1</v>
      </c>
      <c r="G658" s="2" t="s">
        <v>18</v>
      </c>
      <c r="H658" s="40">
        <f>VLOOKUP($D658,PRECIOS_REFERENCIAS!A$3:D$48,4,FALSE)</f>
        <v>372.39749999999998</v>
      </c>
      <c r="I658" s="6">
        <f>H658*F658</f>
        <v>372.39749999999998</v>
      </c>
    </row>
    <row r="659" spans="1:9" hidden="1" outlineLevel="2">
      <c r="A659" s="23"/>
      <c r="B659" s="7"/>
      <c r="C659" s="38"/>
      <c r="D659" s="7"/>
      <c r="E659" s="5" t="str">
        <f>VLOOKUP($D658,PRECIOS_REFERENCIAS!A$3:D$48,3,FALSE)</f>
        <v xml:space="preserve">SIMATIC S7-1200,  Módulo de Entradas analógicas, SM 1231, 8 EA //6ES7231-4HF32-0XB0 </v>
      </c>
      <c r="F659" s="7"/>
      <c r="G659" s="7"/>
      <c r="I659" s="6"/>
    </row>
    <row r="660" spans="1:9" hidden="1" outlineLevel="2">
      <c r="A660" s="24" t="s">
        <v>417</v>
      </c>
      <c r="B660" s="2" t="s">
        <v>20</v>
      </c>
      <c r="C660" s="2" t="s">
        <v>21</v>
      </c>
      <c r="D660" s="2" t="s">
        <v>46</v>
      </c>
      <c r="E660" s="39" t="str">
        <f>VLOOKUP($D660,PRECIOS_REFERENCIAS!A$3:D$90,2,FALSE)</f>
        <v>INSTALACION EA</v>
      </c>
      <c r="F660" s="3">
        <v>2</v>
      </c>
      <c r="G660" s="2" t="s">
        <v>18</v>
      </c>
      <c r="H660" s="40">
        <f>VLOOKUP($D660,PRECIOS_REFERENCIAS!A$3:D$90,4,FALSE)</f>
        <v>237.18351660213608</v>
      </c>
      <c r="I660" s="6">
        <f>H660*F660</f>
        <v>474.36703320427216</v>
      </c>
    </row>
    <row r="661" spans="1:9" hidden="1" outlineLevel="2">
      <c r="A661" s="23"/>
      <c r="B661" s="2"/>
      <c r="C661" s="2"/>
      <c r="D661" s="2"/>
      <c r="E661" s="5" t="str">
        <f>VLOOKUP($D660,PRECIOS_REFERENCIAS!A$3:D$90,3,FALSE)</f>
        <v>SUSTITUCIÓN DE MÓDULO DE E/S ANALÓGICAS DE PLC EXISTENTE POR NUEVO MÓDULO DE PLC DEFINIDO. ENTRADA ANALÓGICAS 8</v>
      </c>
      <c r="F661" s="3"/>
      <c r="G661" s="2"/>
      <c r="H661" s="40"/>
      <c r="I661" s="6"/>
    </row>
    <row r="662" spans="1:9" hidden="1" outlineLevel="2">
      <c r="A662" s="24" t="s">
        <v>418</v>
      </c>
      <c r="B662" s="2" t="s">
        <v>170</v>
      </c>
      <c r="C662" s="2" t="s">
        <v>16</v>
      </c>
      <c r="D662" s="2" t="s">
        <v>170</v>
      </c>
      <c r="E662" s="39" t="str">
        <f>VLOOKUP($D662,PRECIOS_REFERENCIAS!A$3:D$48,2,FALSE)</f>
        <v>SUMINISTRO MÓDULO DE 2 SALIDAS ANALÓGICAS</v>
      </c>
      <c r="F662" s="3">
        <v>1</v>
      </c>
      <c r="G662" s="2" t="s">
        <v>18</v>
      </c>
      <c r="H662" s="40">
        <f>VLOOKUP($D662,PRECIOS_REFERENCIAS!A$3:D$48,4,FALSE)</f>
        <v>243.10499999999999</v>
      </c>
      <c r="I662" s="6">
        <f>H662*F662</f>
        <v>243.10499999999999</v>
      </c>
    </row>
    <row r="663" spans="1:9" hidden="1" outlineLevel="2">
      <c r="A663" s="23"/>
      <c r="B663" s="7"/>
      <c r="C663" s="38"/>
      <c r="D663" s="7"/>
      <c r="E663" s="5" t="str">
        <f>VLOOKUP($D662,PRECIOS_REFERENCIAS!A$3:D$48,3,FALSE)</f>
        <v xml:space="preserve">SIMATIC S7-1200,  Módulo de Salidas analógicas, SM 1232, 2 AO //6ES7232-4HB32-0XB0 </v>
      </c>
      <c r="F663" s="7"/>
      <c r="G663" s="7"/>
      <c r="I663" s="6"/>
    </row>
    <row r="664" spans="1:9" hidden="1" outlineLevel="2">
      <c r="A664" s="24" t="s">
        <v>419</v>
      </c>
      <c r="B664" s="2" t="s">
        <v>20</v>
      </c>
      <c r="C664" s="2" t="s">
        <v>21</v>
      </c>
      <c r="D664" s="2" t="s">
        <v>51</v>
      </c>
      <c r="E664" s="39" t="str">
        <f>VLOOKUP($D664,PRECIOS_REFERENCIAS!A$3:D$90,2,FALSE)</f>
        <v>INSTALACION SA</v>
      </c>
      <c r="F664" s="3">
        <f>F662</f>
        <v>1</v>
      </c>
      <c r="G664" s="2" t="s">
        <v>18</v>
      </c>
      <c r="H664" s="40">
        <f>VLOOKUP($D664,PRECIOS_REFERENCIAS!A$3:D$90,4,FALSE)</f>
        <v>160</v>
      </c>
      <c r="I664" s="6">
        <f>H664*F664</f>
        <v>160</v>
      </c>
    </row>
    <row r="665" spans="1:9" hidden="1" outlineLevel="2">
      <c r="A665" s="23"/>
      <c r="B665" s="2"/>
      <c r="C665" s="2"/>
      <c r="D665" s="2"/>
      <c r="E665" s="5" t="str">
        <f>VLOOKUP($D664,PRECIOS_REFERENCIAS!A$3:D$90,3,FALSE)</f>
        <v>SUSTITUCIÓN DE MÓDULO DE E/S ANALÓGICAS DE PLC EXISTENTE POR NUEVO MÓDULO DE PLC DEFINIDO. SALIDAS ANALÓGICAS 2</v>
      </c>
      <c r="F665" s="3"/>
      <c r="G665" s="2"/>
      <c r="H665" s="40"/>
      <c r="I665" s="6"/>
    </row>
    <row r="666" spans="1:9" hidden="1" outlineLevel="2">
      <c r="A666" s="24" t="s">
        <v>420</v>
      </c>
      <c r="B666" s="2" t="s">
        <v>54</v>
      </c>
      <c r="C666" s="2" t="s">
        <v>16</v>
      </c>
      <c r="D666" s="2" t="s">
        <v>54</v>
      </c>
      <c r="E666" s="39" t="str">
        <f>VLOOKUP($D666,PRECIOS_REFERENCIAS!A$3:D$48,2,FALSE)</f>
        <v>HMI LOCAL 7" ETHERNET Y COLOR</v>
      </c>
      <c r="F666" s="3">
        <v>1</v>
      </c>
      <c r="G666" s="2" t="s">
        <v>18</v>
      </c>
      <c r="H666" s="40">
        <f>VLOOKUP($D666,PRECIOS_REFERENCIAS!A$3:D$48,4,FALSE)</f>
        <v>612.79</v>
      </c>
      <c r="I666" s="6">
        <f>H666*F666</f>
        <v>612.79</v>
      </c>
    </row>
    <row r="667" spans="1:9" hidden="1" outlineLevel="2">
      <c r="A667" s="23"/>
      <c r="B667" s="2"/>
      <c r="C667" s="38"/>
      <c r="D667" s="2"/>
      <c r="E667" s="5" t="str">
        <f>VLOOKUP($D666,PRECIOS_REFERENCIAS!A$3:D$48,3,FALSE)</f>
        <v>SIMATIC HMI, KTP700 Basic, Basic Panel, Manejo con teclado/táctil, pantalla TFT de 7", 65536 colores // 6ES7531-7NF00-0AB0</v>
      </c>
      <c r="F667" s="7"/>
      <c r="G667" s="7"/>
      <c r="I667" s="6"/>
    </row>
    <row r="668" spans="1:9" hidden="1" outlineLevel="2">
      <c r="A668" s="24" t="s">
        <v>421</v>
      </c>
      <c r="B668" s="2" t="s">
        <v>20</v>
      </c>
      <c r="C668" s="2" t="s">
        <v>21</v>
      </c>
      <c r="D668" s="2" t="s">
        <v>56</v>
      </c>
      <c r="E668" s="39" t="str">
        <f>VLOOKUP($D668,PRECIOS_REFERENCIAS!A$3:D$90,2,FALSE)</f>
        <v>INSTALACION HMI</v>
      </c>
      <c r="F668" s="3">
        <f>F666</f>
        <v>1</v>
      </c>
      <c r="G668" s="2" t="s">
        <v>18</v>
      </c>
      <c r="H668" s="40">
        <f>VLOOKUP($D668,PRECIOS_REFERENCIAS!A$3:D$90,4,FALSE)</f>
        <v>125</v>
      </c>
      <c r="I668" s="6">
        <f>H668*F668</f>
        <v>125</v>
      </c>
    </row>
    <row r="669" spans="1:9" hidden="1" outlineLevel="2">
      <c r="A669" s="23"/>
      <c r="B669" s="2"/>
      <c r="C669" s="2"/>
      <c r="D669" s="2"/>
      <c r="E669" s="5" t="str">
        <f>VLOOKUP($D668,PRECIOS_REFERENCIAS!A$3:D$90,3,FALSE)</f>
        <v>INSTALACIÓN DE PANTALLA HMI</v>
      </c>
      <c r="F669" s="3"/>
      <c r="G669" s="2"/>
      <c r="H669" s="40"/>
      <c r="I669" s="6"/>
    </row>
    <row r="670" spans="1:9" hidden="1" outlineLevel="2">
      <c r="A670" s="24" t="s">
        <v>422</v>
      </c>
      <c r="B670" s="2" t="s">
        <v>175</v>
      </c>
      <c r="C670" s="2" t="s">
        <v>16</v>
      </c>
      <c r="D670" s="2" t="s">
        <v>176</v>
      </c>
      <c r="E670" s="39" t="str">
        <f>VLOOKUP($D670,PRECIOS_REFERENCIAS!A$3:D$48,2,FALSE)</f>
        <v>SWITCH SHDSL 4 PUERTOS + BYPASS</v>
      </c>
      <c r="F670" s="3">
        <v>1</v>
      </c>
      <c r="G670" s="2" t="s">
        <v>18</v>
      </c>
      <c r="H670" s="40">
        <f>VLOOKUP($D670,PRECIOS_REFERENCIAS!A$3:D$48,4,FALSE)</f>
        <v>1024.6500000000001</v>
      </c>
      <c r="I670" s="6">
        <f>H670*F670</f>
        <v>1024.6500000000001</v>
      </c>
    </row>
    <row r="671" spans="1:9" hidden="1" outlineLevel="2">
      <c r="A671" s="23"/>
      <c r="B671" s="2"/>
      <c r="C671" s="38"/>
      <c r="D671" s="2"/>
      <c r="E671" s="5" t="str">
        <f>VLOOKUP($D670,PRECIOS_REFERENCIAS!A$3:D$48,3,FALSE)</f>
        <v>SWITCH XSLAN+BP4200 O SIMILAR</v>
      </c>
      <c r="F671" s="7"/>
      <c r="G671" s="7"/>
      <c r="I671" s="6"/>
    </row>
    <row r="672" spans="1:9" hidden="1" outlineLevel="2">
      <c r="A672" s="24" t="s">
        <v>423</v>
      </c>
      <c r="B672" s="2" t="s">
        <v>20</v>
      </c>
      <c r="C672" s="2" t="s">
        <v>21</v>
      </c>
      <c r="D672" s="2" t="s">
        <v>61</v>
      </c>
      <c r="E672" s="39" t="str">
        <f>VLOOKUP($D672,PRECIOS_REFERENCIAS!A$3:D$90,2,FALSE)</f>
        <v>INSTALACION SWITCH SHDSL</v>
      </c>
      <c r="F672" s="3">
        <f>F670</f>
        <v>1</v>
      </c>
      <c r="G672" s="2" t="s">
        <v>18</v>
      </c>
      <c r="H672" s="40">
        <f>VLOOKUP($D672,PRECIOS_REFERENCIAS!A$3:D$90,4,FALSE)</f>
        <v>40</v>
      </c>
      <c r="I672" s="6">
        <f>H672*F672</f>
        <v>40</v>
      </c>
    </row>
    <row r="673" spans="1:9" hidden="1" outlineLevel="2">
      <c r="A673" s="23"/>
      <c r="B673" s="2"/>
      <c r="C673" s="2"/>
      <c r="D673" s="2"/>
      <c r="E673" s="5" t="str">
        <f>VLOOKUP($D672,PRECIOS_REFERENCIAS!A$3:D$90,3,FALSE)</f>
        <v>INSTALACIÓN DE ROUTER</v>
      </c>
      <c r="F673" s="3"/>
      <c r="G673" s="2"/>
      <c r="H673" s="40"/>
      <c r="I673" s="6"/>
    </row>
    <row r="674" spans="1:9" hidden="1" outlineLevel="2">
      <c r="A674" s="24" t="s">
        <v>424</v>
      </c>
      <c r="B674" s="2" t="s">
        <v>63</v>
      </c>
      <c r="C674" s="2" t="s">
        <v>16</v>
      </c>
      <c r="D674" s="2" t="s">
        <v>63</v>
      </c>
      <c r="E674" s="39" t="str">
        <f>VLOOKUP($D674,PRECIOS_REFERENCIAS!A$3:D$48,2,FALSE)</f>
        <v>DESCARGADOR DE SOBRETENSIONES LÍNEA SHDSL</v>
      </c>
      <c r="F674" s="3">
        <v>2</v>
      </c>
      <c r="G674" s="2" t="s">
        <v>18</v>
      </c>
      <c r="H674" s="40">
        <f>VLOOKUP($D674,PRECIOS_REFERENCIAS!A$3:D$48,4,FALSE)</f>
        <v>187</v>
      </c>
      <c r="I674" s="6">
        <f>H674*F674</f>
        <v>374</v>
      </c>
    </row>
    <row r="675" spans="1:9" hidden="1" outlineLevel="2">
      <c r="A675" s="23"/>
      <c r="B675" s="2"/>
      <c r="C675" s="38"/>
      <c r="D675" s="2"/>
      <c r="E675" s="5" t="str">
        <f>VLOOKUP($D674,PRECIOS_REFERENCIAS!A$3:D$48,3,FALSE)</f>
        <v>Equipo DT-TELE-SHDSL de Phoenix Contact con 2 puertos para conexión SHDSL</v>
      </c>
      <c r="F675" s="7"/>
      <c r="G675" s="7"/>
      <c r="I675" s="6"/>
    </row>
    <row r="676" spans="1:9" hidden="1" outlineLevel="2">
      <c r="A676" s="24" t="s">
        <v>425</v>
      </c>
      <c r="B676" s="2" t="s">
        <v>20</v>
      </c>
      <c r="C676" s="2" t="s">
        <v>21</v>
      </c>
      <c r="D676" s="2" t="s">
        <v>65</v>
      </c>
      <c r="E676" s="39" t="str">
        <f>VLOOKUP($D676,PRECIOS_REFERENCIAS!A$3:D$90,2,FALSE)</f>
        <v>INSTALACION DESCARGADOR</v>
      </c>
      <c r="F676" s="3">
        <f>F674</f>
        <v>2</v>
      </c>
      <c r="G676" s="2" t="s">
        <v>18</v>
      </c>
      <c r="H676" s="40">
        <f>VLOOKUP($D676,PRECIOS_REFERENCIAS!A$3:D$90,4,FALSE)</f>
        <v>64.403155112394401</v>
      </c>
      <c r="I676" s="6">
        <f>H676*F676</f>
        <v>128.8063102247888</v>
      </c>
    </row>
    <row r="677" spans="1:9" hidden="1" outlineLevel="2">
      <c r="A677" s="23"/>
      <c r="B677" s="2"/>
      <c r="C677" s="2"/>
      <c r="D677" s="2"/>
      <c r="E677" s="5" t="str">
        <f>VLOOKUP($D676,PRECIOS_REFERENCIAS!A$3:D$90,3,FALSE)</f>
        <v>INSTALACIÓN DE PROTECCIÓN CONTRA SOBRETENSIONES</v>
      </c>
      <c r="F677" s="3"/>
      <c r="G677" s="2"/>
      <c r="H677" s="40"/>
      <c r="I677" s="6"/>
    </row>
    <row r="678" spans="1:9" hidden="1" outlineLevel="2">
      <c r="A678" s="24" t="s">
        <v>426</v>
      </c>
      <c r="B678" s="2" t="s">
        <v>79</v>
      </c>
      <c r="C678" s="2" t="s">
        <v>80</v>
      </c>
      <c r="D678" s="2" t="s">
        <v>81</v>
      </c>
      <c r="E678" s="39" t="str">
        <f>VLOOKUP($D678,PRECIOS_REFERENCIAS!A$3:D$90,2,FALSE)</f>
        <v>PLANIFICACION</v>
      </c>
      <c r="F678" s="3">
        <v>1</v>
      </c>
      <c r="G678" s="2" t="s">
        <v>18</v>
      </c>
      <c r="H678" s="40">
        <f>VLOOKUP($D678,PRECIOS_REFERENCIAS!A$3:D$90,4,FALSE)</f>
        <v>40</v>
      </c>
      <c r="I678" s="6">
        <f>H678*F678</f>
        <v>40</v>
      </c>
    </row>
    <row r="679" spans="1:9" hidden="1" outlineLevel="2">
      <c r="A679" s="23"/>
      <c r="B679" s="2"/>
      <c r="C679" s="2"/>
      <c r="D679" s="2"/>
      <c r="E679" s="5" t="str">
        <f>VLOOKUP($D678,PRECIOS_REFERENCIAS!A$3:D$90,3,FALSE)</f>
        <v>PLANIFICACIÓN DE LOS TRABAJOS Y DESCARGA EN LOCAL DEL PROGRAMA DEL PLC</v>
      </c>
      <c r="F679" s="3"/>
      <c r="G679" s="2"/>
      <c r="H679" s="40"/>
      <c r="I679" s="6"/>
    </row>
    <row r="680" spans="1:9" hidden="1" outlineLevel="2">
      <c r="A680" s="24" t="s">
        <v>427</v>
      </c>
      <c r="B680" s="2" t="s">
        <v>83</v>
      </c>
      <c r="C680" s="2" t="s">
        <v>80</v>
      </c>
      <c r="D680" s="2" t="s">
        <v>80</v>
      </c>
      <c r="E680" s="39" t="str">
        <f>VLOOKUP($D680,PRECIOS_REFERENCIAS!A$3:D$90,2,FALSE)</f>
        <v>INGENIERIA + ESQUEMAS</v>
      </c>
      <c r="F680" s="3">
        <v>1</v>
      </c>
      <c r="G680" s="2" t="s">
        <v>18</v>
      </c>
      <c r="H680" s="40">
        <f>VLOOKUP($D680,PRECIOS_REFERENCIAS!A$3:D$90,4,FALSE)</f>
        <v>300</v>
      </c>
      <c r="I680" s="6">
        <f>H680*F680</f>
        <v>300</v>
      </c>
    </row>
    <row r="681" spans="1:9" ht="22.5" hidden="1" outlineLevel="2">
      <c r="A681" s="23"/>
      <c r="B681" s="2"/>
      <c r="C681" s="2"/>
      <c r="D681" s="2"/>
      <c r="E681" s="5" t="str">
        <f>VLOOKUP($D680,PRECIOS_REFERENCIAS!A$3:D$90,3,FALSE)</f>
        <v>INGENIERÍA DE ACTUALIZACIÓN DE ESQUEMAS ELÉCTRICOS. INCLUYE LA REVISIÓN LOCAL DE LOS CUADROS Y ELEMENTOS DE CONTROL, ASÍ COMO LA COMPROBACIÓN DE LAS SEÑALES DE CONTROL.</v>
      </c>
      <c r="F681" s="3"/>
      <c r="G681" s="2"/>
      <c r="H681" s="40"/>
      <c r="I681" s="6"/>
    </row>
    <row r="682" spans="1:9" hidden="1" outlineLevel="2">
      <c r="A682" s="24" t="s">
        <v>428</v>
      </c>
      <c r="B682" s="2" t="s">
        <v>88</v>
      </c>
      <c r="C682" s="2" t="s">
        <v>80</v>
      </c>
      <c r="D682" s="2" t="s">
        <v>89</v>
      </c>
      <c r="E682" s="39" t="str">
        <f>VLOOKUP($D682,PRECIOS_REFERENCIAS!A$3:D$90,2,FALSE)</f>
        <v>PROGRAMA PLC NUEVO</v>
      </c>
      <c r="F682" s="3">
        <v>1</v>
      </c>
      <c r="G682" s="2" t="s">
        <v>18</v>
      </c>
      <c r="H682" s="40">
        <f>VLOOKUP($D682,PRECIOS_REFERENCIAS!A$3:D$90,4,FALSE)</f>
        <v>407.75660964439658</v>
      </c>
      <c r="I682" s="6">
        <f>H682*F682</f>
        <v>407.75660964439658</v>
      </c>
    </row>
    <row r="683" spans="1:9" hidden="1" outlineLevel="2">
      <c r="A683" s="23"/>
      <c r="B683" s="2"/>
      <c r="C683" s="2"/>
      <c r="D683" s="2"/>
      <c r="E683" s="5" t="str">
        <f>VLOOKUP($D682,PRECIOS_REFERENCIAS!A$3:D$90,3,FALSE)</f>
        <v>MIGRACION DEL PROGRAMA ACTUAL A LA NUEVA PLATAFORMA DE PROGRAMACION</v>
      </c>
      <c r="I683" s="6"/>
    </row>
    <row r="684" spans="1:9" hidden="1" outlineLevel="2">
      <c r="A684" s="24" t="s">
        <v>429</v>
      </c>
      <c r="B684" s="2" t="s">
        <v>94</v>
      </c>
      <c r="C684" s="2" t="s">
        <v>80</v>
      </c>
      <c r="D684" s="2" t="s">
        <v>95</v>
      </c>
      <c r="E684" s="39" t="str">
        <f>VLOOKUP($D684,PRECIOS_REFERENCIAS!A$3:D$90,2,FALSE)</f>
        <v>PEM REMOTA</v>
      </c>
      <c r="F684" s="3">
        <v>1</v>
      </c>
      <c r="G684" s="2" t="s">
        <v>18</v>
      </c>
      <c r="H684" s="40">
        <f>VLOOKUP($D684,PRECIOS_REFERENCIAS!A$3:D$90,4,FALSE)</f>
        <v>851.7</v>
      </c>
      <c r="I684" s="6">
        <f>H684*F684</f>
        <v>851.7</v>
      </c>
    </row>
    <row r="685" spans="1:9" hidden="1" outlineLevel="2">
      <c r="A685" s="23"/>
      <c r="B685" s="2"/>
      <c r="C685" s="2"/>
      <c r="D685" s="2"/>
      <c r="E685" s="5" t="str">
        <f>VLOOKUP($D684,PRECIOS_REFERENCIAS!A$3:D$90,3,FALSE)</f>
        <v>PUESTA EN MARCHA DEL PROGRAMA DE CONTROL LOCAL</v>
      </c>
      <c r="F685" s="3"/>
      <c r="G685" s="2"/>
      <c r="H685" s="40"/>
      <c r="I685" s="6"/>
    </row>
    <row r="686" spans="1:9" hidden="1" outlineLevel="2">
      <c r="A686" s="24" t="s">
        <v>430</v>
      </c>
      <c r="B686" s="2" t="s">
        <v>97</v>
      </c>
      <c r="C686" s="2" t="s">
        <v>80</v>
      </c>
      <c r="D686" s="2" t="s">
        <v>98</v>
      </c>
      <c r="E686" s="39" t="str">
        <f>VLOOKUP($D686,PRECIOS_REFERENCIAS!A$3:D$90,2,FALSE)</f>
        <v>REVISION SCADA</v>
      </c>
      <c r="F686" s="3">
        <v>1</v>
      </c>
      <c r="G686" s="2" t="s">
        <v>18</v>
      </c>
      <c r="H686" s="40">
        <f>VLOOKUP($D686,PRECIOS_REFERENCIAS!A$3:D$90,4,FALSE)</f>
        <v>60</v>
      </c>
      <c r="I686" s="6">
        <f>H686*F686</f>
        <v>60</v>
      </c>
    </row>
    <row r="687" spans="1:9" hidden="1" outlineLevel="2">
      <c r="A687" s="23"/>
      <c r="B687" s="2"/>
      <c r="C687" s="2"/>
      <c r="D687" s="2"/>
      <c r="E687" s="5" t="str">
        <f>VLOOKUP($D686,PRECIOS_REFERENCIAS!A$3:D$90,3,FALSE)</f>
        <v>REVISIÓN DEL PROGRAMA DE SUPERVISIÓN SCADA</v>
      </c>
      <c r="I687" s="6"/>
    </row>
    <row r="688" spans="1:9" hidden="1" outlineLevel="2">
      <c r="A688" s="24"/>
      <c r="B688" s="2"/>
      <c r="C688" s="2" t="s">
        <v>16</v>
      </c>
      <c r="D688" s="2"/>
      <c r="E688" s="76" t="str">
        <f>CONCATENATE(E635," - TOTAL HARDWARE")</f>
        <v>ER7 BOMBEO EZKIO BAJO - TOTAL HARDWARE</v>
      </c>
      <c r="F688" s="74"/>
      <c r="G688" s="74"/>
      <c r="H688" s="74"/>
      <c r="I688" s="75">
        <f>I636+I640+I644+I646+I650+I654+I658+I662+I666+I670+I674</f>
        <v>4277.2056182073293</v>
      </c>
    </row>
    <row r="689" spans="1:10" hidden="1" outlineLevel="2">
      <c r="A689" s="23"/>
      <c r="B689" s="2"/>
      <c r="C689" s="2" t="s">
        <v>21</v>
      </c>
      <c r="D689" s="2"/>
      <c r="E689" s="76" t="str">
        <f>CONCATENATE(E635," - TOTAL INSTALACION")</f>
        <v>ER7 BOMBEO EZKIO BAJO - TOTAL INSTALACION</v>
      </c>
      <c r="F689" s="74"/>
      <c r="G689" s="74"/>
      <c r="H689" s="74"/>
      <c r="I689" s="75">
        <f>I638+I642+I648+I652+I656+I660+I664+I668+I672+I676</f>
        <v>1939.066102998489</v>
      </c>
    </row>
    <row r="690" spans="1:10" hidden="1" outlineLevel="2">
      <c r="A690" s="23"/>
      <c r="B690" s="2"/>
      <c r="C690" s="2" t="s">
        <v>80</v>
      </c>
      <c r="D690" s="2"/>
      <c r="E690" s="76" t="str">
        <f>CONCATENATE(E635," - TOTAL INGENIERIA")</f>
        <v>ER7 BOMBEO EZKIO BAJO - TOTAL INGENIERIA</v>
      </c>
      <c r="F690" s="74"/>
      <c r="G690" s="74"/>
      <c r="H690" s="74"/>
      <c r="I690" s="75">
        <f>I678+I680+I682+I684+I686</f>
        <v>1659.4566096443966</v>
      </c>
      <c r="J690" s="22">
        <f>SUM(I688:I690)</f>
        <v>7875.7283308502147</v>
      </c>
    </row>
    <row r="691" spans="1:10" hidden="1" outlineLevel="2">
      <c r="E691" s="41" t="s">
        <v>431</v>
      </c>
      <c r="F691" s="41"/>
      <c r="G691" s="41"/>
      <c r="H691" s="41"/>
      <c r="I691" s="42">
        <f>SUM(I636:I687)</f>
        <v>7875.7283308502147</v>
      </c>
    </row>
    <row r="692" spans="1:10" hidden="1" outlineLevel="1">
      <c r="A692" s="44" t="s">
        <v>432</v>
      </c>
      <c r="B692" s="44"/>
      <c r="C692" s="44"/>
      <c r="D692" s="44"/>
      <c r="E692" s="43" t="s">
        <v>433</v>
      </c>
      <c r="F692" s="44"/>
      <c r="G692" s="44" t="s">
        <v>11</v>
      </c>
      <c r="H692" s="45"/>
      <c r="I692" s="64">
        <f>I762</f>
        <v>7469.0494521135124</v>
      </c>
    </row>
    <row r="693" spans="1:10" hidden="1" outlineLevel="2">
      <c r="A693" s="24" t="s">
        <v>434</v>
      </c>
      <c r="B693" s="2" t="s">
        <v>15</v>
      </c>
      <c r="C693" s="2" t="s">
        <v>16</v>
      </c>
      <c r="D693" s="2" t="s">
        <v>15</v>
      </c>
      <c r="E693" s="39" t="str">
        <f>VLOOKUP($D693,PRECIOS_REFERENCIAS!A$3:D$90,2,FALSE)</f>
        <v xml:space="preserve">CARRIL DIN </v>
      </c>
      <c r="F693" s="3">
        <v>1</v>
      </c>
      <c r="G693" s="2" t="s">
        <v>18</v>
      </c>
      <c r="H693" s="40">
        <f>VLOOKUP($D693,PRECIOS_REFERENCIAS!A$3:D$90,4,FALSE)</f>
        <v>2.6481182073295662</v>
      </c>
      <c r="I693" s="6">
        <f>H693*F693</f>
        <v>2.6481182073295662</v>
      </c>
    </row>
    <row r="694" spans="1:10" hidden="1" outlineLevel="2">
      <c r="A694" s="23"/>
      <c r="B694" s="2"/>
      <c r="C694" s="2"/>
      <c r="D694" s="2"/>
      <c r="E694" s="5" t="str">
        <f>VLOOKUP($D693,PRECIOS_REFERENCIAS!A$3:D$90,3,FALSE)</f>
        <v>CARRIL DIN PARA REMOTA S7-1200</v>
      </c>
      <c r="F694" s="3"/>
      <c r="G694" s="2"/>
      <c r="H694" s="40"/>
      <c r="I694" s="6"/>
    </row>
    <row r="695" spans="1:10" hidden="1" outlineLevel="2">
      <c r="A695" s="24" t="s">
        <v>435</v>
      </c>
      <c r="B695" s="2" t="s">
        <v>20</v>
      </c>
      <c r="C695" s="2" t="s">
        <v>21</v>
      </c>
      <c r="D695" s="2" t="s">
        <v>22</v>
      </c>
      <c r="E695" s="39" t="str">
        <f>VLOOKUP($D695,PRECIOS_REFERENCIAS!A$3:D$90,2,FALSE)</f>
        <v xml:space="preserve">INSTALACION CARRIL DIN </v>
      </c>
      <c r="F695" s="3">
        <v>1</v>
      </c>
      <c r="G695" s="2" t="s">
        <v>18</v>
      </c>
      <c r="H695" s="40">
        <f>VLOOKUP($D695,PRECIOS_REFERENCIAS!A$3:D$90,4,FALSE)</f>
        <v>35.402252939916011</v>
      </c>
      <c r="I695" s="6">
        <f>H695*F695</f>
        <v>35.402252939916011</v>
      </c>
    </row>
    <row r="696" spans="1:10" hidden="1" outlineLevel="2">
      <c r="A696" s="23"/>
      <c r="B696" s="2"/>
      <c r="C696" s="2"/>
      <c r="D696" s="2"/>
      <c r="E696" s="5" t="str">
        <f>VLOOKUP($D695,PRECIOS_REFERENCIAS!A$3:D$90,3,FALSE)</f>
        <v>SUSTITUCIÓN DE PERFIL SOPORTE DE PLC EXISTENTE POR NUEVO PERFIL DE PLC DEFINIDO, DENTRO DEL ARMARIO ELÉCTRICO ACTUAL.</v>
      </c>
      <c r="F696" s="3"/>
      <c r="G696" s="2"/>
      <c r="H696" s="40"/>
      <c r="I696" s="6"/>
    </row>
    <row r="697" spans="1:10" hidden="1" outlineLevel="2">
      <c r="A697" s="24" t="s">
        <v>436</v>
      </c>
      <c r="B697" s="2" t="s">
        <v>104</v>
      </c>
      <c r="C697" s="2" t="s">
        <v>16</v>
      </c>
      <c r="D697" s="2" t="s">
        <v>104</v>
      </c>
      <c r="E697" s="39" t="str">
        <f>VLOOKUP($D697,PRECIOS_REFERENCIAS!A$3:D$48,2,FALSE)</f>
        <v>SUMINISTRO DE CPU REMOTAS</v>
      </c>
      <c r="F697" s="3">
        <v>1</v>
      </c>
      <c r="G697" s="2" t="s">
        <v>18</v>
      </c>
      <c r="H697" s="40">
        <f>VLOOKUP($D697,PRECIOS_REFERENCIAS!A$3:D$48,4,FALSE)</f>
        <v>416.28749999999997</v>
      </c>
      <c r="I697" s="6">
        <f>H697*F697</f>
        <v>416.28749999999997</v>
      </c>
    </row>
    <row r="698" spans="1:10" hidden="1" outlineLevel="2">
      <c r="A698" s="23"/>
      <c r="B698" s="38"/>
      <c r="C698" s="38"/>
      <c r="D698" s="38"/>
      <c r="E698" s="5" t="str">
        <f>VLOOKUP($D697,PRECIOS_REFERENCIAS!A$3:D$48,3,FALSE)</f>
        <v>SIMATIC S7-1200 - CPU 1214C //6ES7214-1AG40-0XB0</v>
      </c>
      <c r="F698" s="7"/>
      <c r="G698" s="7"/>
      <c r="I698" s="6"/>
    </row>
    <row r="699" spans="1:10" hidden="1" outlineLevel="2">
      <c r="A699" s="24" t="s">
        <v>437</v>
      </c>
      <c r="B699" s="2" t="s">
        <v>20</v>
      </c>
      <c r="C699" s="2" t="s">
        <v>21</v>
      </c>
      <c r="D699" s="2" t="s">
        <v>28</v>
      </c>
      <c r="E699" s="39" t="str">
        <f>VLOOKUP($D699,PRECIOS_REFERENCIAS!A$3:D$90,2,FALSE)</f>
        <v>INSTALACION CPU</v>
      </c>
      <c r="F699" s="3">
        <v>1</v>
      </c>
      <c r="G699" s="2" t="s">
        <v>18</v>
      </c>
      <c r="H699" s="40">
        <f>VLOOKUP($D699,PRECIOS_REFERENCIAS!A$3:D$90,4,FALSE)</f>
        <v>123.90076030798227</v>
      </c>
      <c r="I699" s="6">
        <f>H699*F699</f>
        <v>123.90076030798227</v>
      </c>
    </row>
    <row r="700" spans="1:10" hidden="1" outlineLevel="2">
      <c r="A700" s="23"/>
      <c r="B700" s="2"/>
      <c r="C700" s="2"/>
      <c r="D700" s="2"/>
      <c r="E700" s="5" t="str">
        <f>VLOOKUP($D699,PRECIOS_REFERENCIAS!A$3:D$90,3,FALSE)</f>
        <v>SUSTITUCIÓN DE CPU DE PLC EXISTENTE POR NUEVA CPU DE PLC DEFINIDA</v>
      </c>
      <c r="F700" s="3"/>
      <c r="G700" s="2"/>
      <c r="H700" s="40"/>
      <c r="I700" s="6"/>
    </row>
    <row r="701" spans="1:10" hidden="1" outlineLevel="2">
      <c r="A701" s="24" t="s">
        <v>438</v>
      </c>
      <c r="B701" s="2" t="s">
        <v>153</v>
      </c>
      <c r="C701" s="2" t="s">
        <v>21</v>
      </c>
      <c r="D701" s="2" t="s">
        <v>153</v>
      </c>
      <c r="E701" s="39" t="str">
        <f>VLOOKUP($D701,PRECIOS_REFERENCIAS!A$3:D$48,2,FALSE)</f>
        <v>SUMINISTRO DE FUENTE ALIMENTACIÓN CPU REMOTAS</v>
      </c>
      <c r="F701" s="3">
        <v>1</v>
      </c>
      <c r="G701" s="2" t="s">
        <v>18</v>
      </c>
      <c r="H701" s="40">
        <f>VLOOKUP($D701,PRECIOS_REFERENCIAS!A$3:D$48,4,FALSE)</f>
        <v>180.01500000000001</v>
      </c>
      <c r="I701" s="6">
        <f>H701*F701</f>
        <v>180.01500000000001</v>
      </c>
    </row>
    <row r="702" spans="1:10" hidden="1" outlineLevel="2">
      <c r="A702" s="23"/>
      <c r="B702" s="7"/>
      <c r="C702" s="7"/>
      <c r="D702" s="7"/>
      <c r="E702" s="5" t="str">
        <f>VLOOKUP($D701,PRECIOS_REFERENCIAS!A$3:D$48,3,FALSE)</f>
        <v>SITOP PSU6200 24 V/10 A // 6EP3334-7SB00-3AX0    </v>
      </c>
      <c r="F702" s="7"/>
      <c r="G702" s="7"/>
      <c r="I702" s="6"/>
    </row>
    <row r="703" spans="1:10" hidden="1" outlineLevel="2">
      <c r="A703" s="24" t="s">
        <v>439</v>
      </c>
      <c r="B703" s="2" t="s">
        <v>158</v>
      </c>
      <c r="C703" s="2" t="s">
        <v>16</v>
      </c>
      <c r="D703" s="2" t="s">
        <v>159</v>
      </c>
      <c r="E703" s="39" t="str">
        <f>VLOOKUP($D703,PRECIOS_REFERENCIAS!A$3:D$90,2,FALSE)</f>
        <v>TARJETA COMUNICACIONES  S7-1200</v>
      </c>
      <c r="F703" s="3">
        <v>1</v>
      </c>
      <c r="G703" s="2" t="s">
        <v>18</v>
      </c>
      <c r="H703" s="40">
        <f>VLOOKUP($D703,PRECIOS_REFERENCIAS!A$3:D$90,4,FALSE)</f>
        <v>518.66999999999996</v>
      </c>
      <c r="I703" s="6">
        <f>H703*F703</f>
        <v>518.66999999999996</v>
      </c>
    </row>
    <row r="704" spans="1:10" hidden="1" outlineLevel="2">
      <c r="A704" s="23"/>
      <c r="B704" s="2"/>
      <c r="C704" s="7"/>
      <c r="D704" s="2"/>
      <c r="E704" s="5" t="str">
        <f>VLOOKUP($D703,PRECIOS_REFERENCIAS!A$3:D$90,3,FALSE)</f>
        <v>SIMATIC S7-1200  Modulo Ethernet CP 1243-1  //6GK7243-1BX30-0XE0</v>
      </c>
      <c r="F704" s="3"/>
      <c r="G704" s="2"/>
      <c r="H704" s="40"/>
      <c r="I704" s="6"/>
    </row>
    <row r="705" spans="1:9" hidden="1" outlineLevel="2">
      <c r="A705" s="24" t="s">
        <v>440</v>
      </c>
      <c r="B705" s="2" t="s">
        <v>20</v>
      </c>
      <c r="C705" s="2" t="s">
        <v>21</v>
      </c>
      <c r="D705" s="2" t="s">
        <v>161</v>
      </c>
      <c r="E705" s="39" t="str">
        <f>VLOOKUP($D705,PRECIOS_REFERENCIAS!A$3:D$90,2,FALSE)</f>
        <v>INSTALACION COM ADICIONAL</v>
      </c>
      <c r="F705" s="3">
        <v>1</v>
      </c>
      <c r="G705" s="2" t="s">
        <v>18</v>
      </c>
      <c r="H705" s="40">
        <f>VLOOKUP($D705,PRECIOS_REFERENCIAS!A$3:D$90,4,FALSE)</f>
        <v>40</v>
      </c>
      <c r="I705" s="6">
        <f>H705*F705</f>
        <v>40</v>
      </c>
    </row>
    <row r="706" spans="1:9" hidden="1" outlineLevel="2">
      <c r="A706" s="23"/>
      <c r="B706" s="7"/>
      <c r="C706" s="38"/>
      <c r="D706" s="7"/>
      <c r="E706" s="5" t="str">
        <f>VLOOKUP($D705,PRECIOS_REFERENCIAS!A$3:D$90,3,FALSE)</f>
        <v xml:space="preserve">INSTALACION TARJETA COMUNICACIONES ADICIONAL </v>
      </c>
      <c r="F706" s="7"/>
      <c r="G706" s="7"/>
      <c r="I706" s="6"/>
    </row>
    <row r="707" spans="1:9" hidden="1" outlineLevel="2">
      <c r="A707" s="24" t="s">
        <v>441</v>
      </c>
      <c r="B707" s="2" t="s">
        <v>196</v>
      </c>
      <c r="C707" s="2" t="s">
        <v>16</v>
      </c>
      <c r="D707" s="2" t="s">
        <v>197</v>
      </c>
      <c r="E707" s="39" t="str">
        <f>VLOOKUP($D707,PRECIOS_REFERENCIAS!A$3:D$48,2,FALSE)</f>
        <v>TARJETA COMUNICACIÓN RS485 S7-1200</v>
      </c>
      <c r="F707" s="3">
        <v>1</v>
      </c>
      <c r="G707" s="2" t="s">
        <v>18</v>
      </c>
      <c r="H707" s="40">
        <f>VLOOKUP($D707,PRECIOS_REFERENCIAS!A$3:D$48,4,FALSE)</f>
        <v>130.19999999999999</v>
      </c>
      <c r="I707" s="6">
        <f>H707*F707</f>
        <v>130.19999999999999</v>
      </c>
    </row>
    <row r="708" spans="1:9" hidden="1" outlineLevel="2">
      <c r="A708" s="23"/>
      <c r="B708" s="7"/>
      <c r="C708" s="38"/>
      <c r="D708" s="7"/>
      <c r="E708" s="5" t="str">
        <f>VLOOKUP($D707,PRECIOS_REFERENCIAS!A$3:D$48,3,FALSE)</f>
        <v>Modul de comunic. CM 1241, RS422/485  //6ES7241-1CH32-0XB0</v>
      </c>
      <c r="F708" s="7"/>
      <c r="G708" s="7"/>
      <c r="I708" s="6"/>
    </row>
    <row r="709" spans="1:9" hidden="1" outlineLevel="2">
      <c r="A709" s="24" t="s">
        <v>442</v>
      </c>
      <c r="B709" s="2" t="s">
        <v>20</v>
      </c>
      <c r="C709" s="2" t="s">
        <v>21</v>
      </c>
      <c r="D709" s="2" t="s">
        <v>199</v>
      </c>
      <c r="E709" s="39" t="str">
        <f>VLOOKUP($D709,PRECIOS_REFERENCIAS!A$3:D$90,2,FALSE)</f>
        <v>INSTALACION CABLEADO MODBUS CAUDALIMETRO</v>
      </c>
      <c r="F709" s="3">
        <v>2</v>
      </c>
      <c r="G709" s="2" t="s">
        <v>18</v>
      </c>
      <c r="H709" s="40">
        <f>VLOOKUP($D709,PRECIOS_REFERENCIAS!A$3:D$90,4,FALSE)</f>
        <v>40</v>
      </c>
      <c r="I709" s="6">
        <f>H709*F709</f>
        <v>80</v>
      </c>
    </row>
    <row r="710" spans="1:9" hidden="1" outlineLevel="2">
      <c r="A710" s="23"/>
      <c r="B710" s="2"/>
      <c r="C710" s="2"/>
      <c r="D710" s="2"/>
      <c r="E710" s="5" t="str">
        <f>VLOOKUP($D709,PRECIOS_REFERENCIAS!A$3:D$90,3,FALSE)</f>
        <v>INSTALACIÓN DEL CABLEADO MODUS PARA CADA CAUDALIMETRO CON COMUNICACIÓN MODBUS</v>
      </c>
      <c r="F710" s="3"/>
      <c r="G710" s="2"/>
      <c r="H710" s="40"/>
      <c r="I710" s="6"/>
    </row>
    <row r="711" spans="1:9" hidden="1" outlineLevel="2">
      <c r="A711" s="24" t="s">
        <v>443</v>
      </c>
      <c r="B711" s="2" t="s">
        <v>201</v>
      </c>
      <c r="C711" s="2" t="s">
        <v>16</v>
      </c>
      <c r="D711" s="2" t="s">
        <v>202</v>
      </c>
      <c r="E711" s="39" t="str">
        <f>VLOOKUP($D711,PRECIOS_REFERENCIAS!A$3:D$48,2,FALSE)</f>
        <v>TARJETA COMUNICACIÓN MODBUS CAUDALIMETRO</v>
      </c>
      <c r="F711" s="3">
        <f>F709</f>
        <v>2</v>
      </c>
      <c r="G711" s="2" t="s">
        <v>18</v>
      </c>
      <c r="H711" s="40">
        <f>VLOOKUP($D711,PRECIOS_REFERENCIAS!A$3:D$48,4,FALSE)</f>
        <v>183.48750000000001</v>
      </c>
      <c r="I711" s="6">
        <f>H711*F711</f>
        <v>366.97500000000002</v>
      </c>
    </row>
    <row r="712" spans="1:9" hidden="1" outlineLevel="2">
      <c r="A712" s="23"/>
      <c r="B712" s="7"/>
      <c r="C712" s="38"/>
      <c r="D712" s="7"/>
      <c r="E712" s="5" t="str">
        <f>VLOOKUP($D711,PRECIOS_REFERENCIAS!A$3:D$48,3,FALSE)</f>
        <v>TARJETA MODBUS RTU/RS485 para caudalímetro MAG 6000 // FDK:085U0234</v>
      </c>
      <c r="F712" s="7"/>
      <c r="G712" s="7"/>
      <c r="I712" s="6"/>
    </row>
    <row r="713" spans="1:9" hidden="1" outlineLevel="2">
      <c r="A713" s="24" t="s">
        <v>444</v>
      </c>
      <c r="B713" s="2" t="s">
        <v>20</v>
      </c>
      <c r="C713" s="2" t="s">
        <v>21</v>
      </c>
      <c r="D713" s="2" t="s">
        <v>204</v>
      </c>
      <c r="E713" s="39" t="str">
        <f>VLOOKUP($D713,PRECIOS_REFERENCIAS!A$3:D$90,2,FALSE)</f>
        <v>INSTALACION TARJETA MODBUS CAUDALIMETRO</v>
      </c>
      <c r="F713" s="3">
        <f>F711</f>
        <v>2</v>
      </c>
      <c r="G713" s="2" t="s">
        <v>18</v>
      </c>
      <c r="H713" s="40">
        <f>VLOOKUP($D713,PRECIOS_REFERENCIAS!A$3:D$90,4,FALSE)</f>
        <v>40</v>
      </c>
      <c r="I713" s="6">
        <f>H713*F713</f>
        <v>80</v>
      </c>
    </row>
    <row r="714" spans="1:9" hidden="1" outlineLevel="2">
      <c r="A714" s="23"/>
      <c r="B714" s="2"/>
      <c r="C714" s="2"/>
      <c r="D714" s="2"/>
      <c r="E714" s="5" t="str">
        <f>VLOOKUP($D713,PRECIOS_REFERENCIAS!A$3:D$90,3,FALSE)</f>
        <v>INSTALACIÓN DE LA TARJETA DE MODBUS EN EL CAUDALIMETRO</v>
      </c>
      <c r="F714" s="3"/>
      <c r="G714" s="2"/>
      <c r="H714" s="40"/>
      <c r="I714" s="6"/>
    </row>
    <row r="715" spans="1:9" hidden="1" outlineLevel="2">
      <c r="A715" s="24" t="s">
        <v>445</v>
      </c>
      <c r="B715" s="2" t="s">
        <v>20</v>
      </c>
      <c r="C715" s="2" t="s">
        <v>21</v>
      </c>
      <c r="D715" s="2" t="s">
        <v>35</v>
      </c>
      <c r="E715" s="39" t="str">
        <f>VLOOKUP($D715,PRECIOS_REFERENCIAS!A$3:D$90,2,FALSE)</f>
        <v>INSTALACION ED</v>
      </c>
      <c r="F715" s="3">
        <v>1</v>
      </c>
      <c r="G715" s="2" t="s">
        <v>18</v>
      </c>
      <c r="H715" s="40">
        <f>VLOOKUP($D715,PRECIOS_REFERENCIAS!A$3:D$90,4,FALSE)</f>
        <v>161.97310014887609</v>
      </c>
      <c r="I715" s="6">
        <f>H715*F715</f>
        <v>161.97310014887609</v>
      </c>
    </row>
    <row r="716" spans="1:9" hidden="1" outlineLevel="2">
      <c r="A716" s="23"/>
      <c r="B716" s="2"/>
      <c r="C716" s="7"/>
      <c r="D716" s="2"/>
      <c r="E716" s="5" t="str">
        <f>VLOOKUP($D715,PRECIOS_REFERENCIAS!A$3:D$90,3,FALSE)</f>
        <v>SUSTITUCIÓN DE MÓDULO DE E/S DIGITALES DE PLC EXISTENTE POR NUEVO MÓDULO DE PLC DEFINIDO. ENTRADA DIGITAL 16</v>
      </c>
      <c r="F716" s="3"/>
      <c r="G716" s="2"/>
      <c r="H716" s="40"/>
      <c r="I716" s="6"/>
    </row>
    <row r="717" spans="1:9" hidden="1" outlineLevel="2">
      <c r="A717" s="24" t="s">
        <v>446</v>
      </c>
      <c r="B717" s="2" t="s">
        <v>114</v>
      </c>
      <c r="C717" s="2" t="s">
        <v>16</v>
      </c>
      <c r="D717" s="2" t="s">
        <v>114</v>
      </c>
      <c r="E717" s="39" t="str">
        <f>VLOOKUP($D717,PRECIOS_REFERENCIAS!A$3:D$48,2,FALSE)</f>
        <v>SUMINISTRO MÓDULO DE 8 ENTRADAS ANALÓGICAS</v>
      </c>
      <c r="F717" s="3">
        <v>2</v>
      </c>
      <c r="G717" s="2" t="s">
        <v>18</v>
      </c>
      <c r="H717" s="40">
        <f>VLOOKUP($D717,PRECIOS_REFERENCIAS!A$3:D$48,4,FALSE)</f>
        <v>372.39749999999998</v>
      </c>
      <c r="I717" s="6">
        <f t="shared" ref="I717" si="58">H717*F717</f>
        <v>744.79499999999996</v>
      </c>
    </row>
    <row r="718" spans="1:9" hidden="1" outlineLevel="2">
      <c r="A718" s="23"/>
      <c r="B718" s="7"/>
      <c r="C718" s="7"/>
      <c r="D718" s="7"/>
      <c r="E718" s="5" t="str">
        <f>VLOOKUP($D717,PRECIOS_REFERENCIAS!A$3:D$48,3,FALSE)</f>
        <v xml:space="preserve">SIMATIC S7-1200,  Módulo de Entradas analógicas, SM 1231, 8 EA //6ES7231-4HF32-0XB0 </v>
      </c>
      <c r="F718" s="7"/>
      <c r="G718" s="7"/>
      <c r="I718" s="6"/>
    </row>
    <row r="719" spans="1:9" hidden="1" outlineLevel="2">
      <c r="A719" s="24" t="s">
        <v>447</v>
      </c>
      <c r="B719" s="2" t="s">
        <v>20</v>
      </c>
      <c r="C719" s="2" t="s">
        <v>21</v>
      </c>
      <c r="D719" s="2" t="s">
        <v>46</v>
      </c>
      <c r="E719" s="39" t="str">
        <f>VLOOKUP($D719,PRECIOS_REFERENCIAS!A$3:D$90,2,FALSE)</f>
        <v>INSTALACION EA</v>
      </c>
      <c r="F719" s="3">
        <v>1</v>
      </c>
      <c r="G719" s="2" t="s">
        <v>18</v>
      </c>
      <c r="H719" s="40">
        <f>VLOOKUP($D719,PRECIOS_REFERENCIAS!A$3:D$90,4,FALSE)</f>
        <v>237.18351660213608</v>
      </c>
      <c r="I719" s="6">
        <f>H719*F719</f>
        <v>237.18351660213608</v>
      </c>
    </row>
    <row r="720" spans="1:9" hidden="1" outlineLevel="2">
      <c r="A720" s="23"/>
      <c r="B720" s="2"/>
      <c r="C720" s="7"/>
      <c r="D720" s="2"/>
      <c r="E720" s="5" t="str">
        <f>VLOOKUP($D719,PRECIOS_REFERENCIAS!A$3:D$90,3,FALSE)</f>
        <v>SUSTITUCIÓN DE MÓDULO DE E/S ANALÓGICAS DE PLC EXISTENTE POR NUEVO MÓDULO DE PLC DEFINIDO. ENTRADA ANALÓGICAS 8</v>
      </c>
      <c r="F720" s="3"/>
      <c r="G720" s="2"/>
      <c r="H720" s="40"/>
      <c r="I720" s="6"/>
    </row>
    <row r="721" spans="1:9" hidden="1" outlineLevel="2">
      <c r="A721" s="24" t="s">
        <v>448</v>
      </c>
      <c r="B721" s="2" t="s">
        <v>20</v>
      </c>
      <c r="C721" s="2" t="s">
        <v>21</v>
      </c>
      <c r="D721" s="2" t="s">
        <v>208</v>
      </c>
      <c r="E721" s="39" t="str">
        <f>VLOOKUP($D721,PRECIOS_REFERENCIAS!A$3:D$90,2,FALSE)</f>
        <v>RETIRADA CABLE CAUDAL SEÑAL ANALOGICA</v>
      </c>
      <c r="F721" s="3">
        <v>2</v>
      </c>
      <c r="G721" s="2" t="s">
        <v>18</v>
      </c>
      <c r="H721" s="40">
        <f>VLOOKUP($D721,PRECIOS_REFERENCIAS!A$3:D$90,4,FALSE)</f>
        <v>30</v>
      </c>
      <c r="I721" s="6">
        <f>H721*F721</f>
        <v>60</v>
      </c>
    </row>
    <row r="722" spans="1:9" hidden="1" outlineLevel="2">
      <c r="A722" s="23"/>
      <c r="B722" s="2"/>
      <c r="C722" s="2"/>
      <c r="D722" s="2"/>
      <c r="E722" s="5" t="str">
        <f>VLOOKUP($D721,PRECIOS_REFERENCIAS!A$3:D$90,3,FALSE)</f>
        <v>RETIRADA DEL CABLE ANALOGICO DEL CAUDALIMETRO POR LA COMUNICACIÓN ACTUAL MODBUS</v>
      </c>
      <c r="F722" s="3"/>
      <c r="G722" s="2"/>
      <c r="H722" s="40"/>
      <c r="I722" s="6"/>
    </row>
    <row r="723" spans="1:9" hidden="1" outlineLevel="2">
      <c r="A723" s="24" t="s">
        <v>449</v>
      </c>
      <c r="B723" s="2" t="s">
        <v>210</v>
      </c>
      <c r="C723" s="2" t="s">
        <v>16</v>
      </c>
      <c r="D723" s="2" t="s">
        <v>210</v>
      </c>
      <c r="E723" s="39" t="str">
        <f>VLOOKUP($D723,PRECIOS_REFERENCIAS!A$3:D$48,2,FALSE)</f>
        <v>HMI LOCAL 4" ETHERNET Y COLOR</v>
      </c>
      <c r="F723" s="3">
        <v>1</v>
      </c>
      <c r="G723" s="2" t="s">
        <v>18</v>
      </c>
      <c r="H723" s="40">
        <f>VLOOKUP($D723,PRECIOS_REFERENCIAS!A$3:D$48,4,FALSE)</f>
        <v>297.52999999999997</v>
      </c>
      <c r="I723" s="6">
        <f>H723*F723</f>
        <v>297.52999999999997</v>
      </c>
    </row>
    <row r="724" spans="1:9" hidden="1" outlineLevel="2">
      <c r="A724" s="23"/>
      <c r="B724" s="2"/>
      <c r="C724" s="2"/>
      <c r="D724" s="2"/>
      <c r="E724" s="5" t="str">
        <f>VLOOKUP($D723,PRECIOS_REFERENCIAS!A$3:D$48,3,FALSE)</f>
        <v>SIMATIC HMI, KTP400 Basic, Basic Panel, Manejo con teclado/táctil, pantalla TFT de 4", 65536 colores // 6AV2123-2GB03-0AX0</v>
      </c>
      <c r="F724" s="7"/>
      <c r="G724" s="7"/>
      <c r="I724" s="6"/>
    </row>
    <row r="725" spans="1:9" hidden="1" outlineLevel="2">
      <c r="A725" s="24" t="s">
        <v>450</v>
      </c>
      <c r="B725" s="2" t="s">
        <v>20</v>
      </c>
      <c r="C725" s="2" t="s">
        <v>21</v>
      </c>
      <c r="D725" s="2" t="s">
        <v>56</v>
      </c>
      <c r="E725" s="39" t="str">
        <f>VLOOKUP($D725,PRECIOS_REFERENCIAS!A$3:D$90,2,FALSE)</f>
        <v>INSTALACION HMI</v>
      </c>
      <c r="F725" s="3">
        <f>F723</f>
        <v>1</v>
      </c>
      <c r="G725" s="2" t="s">
        <v>18</v>
      </c>
      <c r="H725" s="40">
        <f>VLOOKUP($D725,PRECIOS_REFERENCIAS!A$3:D$90,4,FALSE)</f>
        <v>125</v>
      </c>
      <c r="I725" s="6">
        <f>H725*F725</f>
        <v>125</v>
      </c>
    </row>
    <row r="726" spans="1:9" hidden="1" outlineLevel="2">
      <c r="A726" s="23"/>
      <c r="B726" s="2"/>
      <c r="C726" s="7"/>
      <c r="D726" s="2"/>
      <c r="E726" s="5" t="str">
        <f>VLOOKUP($D725,PRECIOS_REFERENCIAS!A$3:D$90,3,FALSE)</f>
        <v>INSTALACIÓN DE PANTALLA HMI</v>
      </c>
      <c r="F726" s="3"/>
      <c r="G726" s="2"/>
      <c r="H726" s="40"/>
      <c r="I726" s="6"/>
    </row>
    <row r="727" spans="1:9" hidden="1" outlineLevel="2">
      <c r="A727" s="24" t="s">
        <v>451</v>
      </c>
      <c r="B727" s="2" t="s">
        <v>58</v>
      </c>
      <c r="C727" s="2" t="s">
        <v>16</v>
      </c>
      <c r="D727" s="2" t="s">
        <v>59</v>
      </c>
      <c r="E727" s="39" t="str">
        <f>VLOOKUP($D727,PRECIOS_REFERENCIAS!A$3:D$48,2,FALSE)</f>
        <v xml:space="preserve">SWITCH SHDSL 1 PUERTO </v>
      </c>
      <c r="F727" s="3">
        <v>1</v>
      </c>
      <c r="G727" s="2" t="s">
        <v>18</v>
      </c>
      <c r="H727" s="40">
        <f>VLOOKUP($D727,PRECIOS_REFERENCIAS!A$3:D$48,4,FALSE)</f>
        <v>828</v>
      </c>
      <c r="I727" s="6">
        <f>H727*F727</f>
        <v>828</v>
      </c>
    </row>
    <row r="728" spans="1:9" hidden="1" outlineLevel="2">
      <c r="A728" s="23"/>
      <c r="B728" s="2"/>
      <c r="C728" s="2"/>
      <c r="D728" s="2"/>
      <c r="E728" s="5" t="str">
        <f>VLOOKUP($D727,PRECIOS_REFERENCIAS!A$3:D$48,3,FALSE)</f>
        <v>SWITCH XSLAN+1400 O SIMILAR</v>
      </c>
      <c r="F728" s="7"/>
      <c r="G728" s="7"/>
      <c r="I728" s="6"/>
    </row>
    <row r="729" spans="1:9" hidden="1" outlineLevel="2">
      <c r="A729" s="24" t="s">
        <v>452</v>
      </c>
      <c r="B729" s="2" t="s">
        <v>20</v>
      </c>
      <c r="C729" s="2" t="s">
        <v>21</v>
      </c>
      <c r="D729" s="2" t="s">
        <v>61</v>
      </c>
      <c r="E729" s="39" t="str">
        <f>VLOOKUP($D729,PRECIOS_REFERENCIAS!A$3:D$90,2,FALSE)</f>
        <v>INSTALACION SWITCH SHDSL</v>
      </c>
      <c r="F729" s="3">
        <f>F727</f>
        <v>1</v>
      </c>
      <c r="G729" s="2" t="s">
        <v>18</v>
      </c>
      <c r="H729" s="40">
        <f>VLOOKUP($D729,PRECIOS_REFERENCIAS!A$3:D$90,4,FALSE)</f>
        <v>40</v>
      </c>
      <c r="I729" s="6">
        <f>H729*F729</f>
        <v>40</v>
      </c>
    </row>
    <row r="730" spans="1:9" hidden="1" outlineLevel="2">
      <c r="A730" s="23"/>
      <c r="B730" s="2"/>
      <c r="C730" s="7"/>
      <c r="D730" s="2"/>
      <c r="E730" s="5" t="str">
        <f>VLOOKUP($D729,PRECIOS_REFERENCIAS!A$3:D$90,3,FALSE)</f>
        <v>INSTALACIÓN DE ROUTER</v>
      </c>
      <c r="F730" s="3"/>
      <c r="G730" s="2"/>
      <c r="H730" s="40"/>
      <c r="I730" s="6"/>
    </row>
    <row r="731" spans="1:9" hidden="1" outlineLevel="2">
      <c r="A731" s="24" t="s">
        <v>453</v>
      </c>
      <c r="B731" s="2" t="s">
        <v>63</v>
      </c>
      <c r="C731" s="2" t="s">
        <v>16</v>
      </c>
      <c r="D731" s="2" t="s">
        <v>63</v>
      </c>
      <c r="E731" s="39" t="str">
        <f>VLOOKUP($D731,PRECIOS_REFERENCIAS!A$3:D$48,2,FALSE)</f>
        <v>DESCARGADOR DE SOBRETENSIONES LÍNEA SHDSL</v>
      </c>
      <c r="F731" s="3">
        <v>1</v>
      </c>
      <c r="G731" s="2" t="s">
        <v>18</v>
      </c>
      <c r="H731" s="40">
        <f>VLOOKUP($D731,PRECIOS_REFERENCIAS!A$3:D$48,4,FALSE)</f>
        <v>187</v>
      </c>
      <c r="I731" s="6">
        <f>H731*F731</f>
        <v>187</v>
      </c>
    </row>
    <row r="732" spans="1:9" hidden="1" outlineLevel="2">
      <c r="A732" s="23"/>
      <c r="B732" s="2"/>
      <c r="C732" s="2"/>
      <c r="D732" s="2"/>
      <c r="E732" s="5" t="str">
        <f>VLOOKUP($D731,PRECIOS_REFERENCIAS!A$3:D$48,3,FALSE)</f>
        <v>Equipo DT-TELE-SHDSL de Phoenix Contact con 2 puertos para conexión SHDSL</v>
      </c>
      <c r="F732" s="7"/>
      <c r="G732" s="7"/>
      <c r="I732" s="6"/>
    </row>
    <row r="733" spans="1:9" hidden="1" outlineLevel="2">
      <c r="A733" s="24" t="s">
        <v>454</v>
      </c>
      <c r="B733" s="2" t="s">
        <v>20</v>
      </c>
      <c r="C733" s="2" t="s">
        <v>21</v>
      </c>
      <c r="D733" s="2" t="s">
        <v>65</v>
      </c>
      <c r="E733" s="39" t="str">
        <f>VLOOKUP($D733,PRECIOS_REFERENCIAS!A$3:D$90,2,FALSE)</f>
        <v>INSTALACION DESCARGADOR</v>
      </c>
      <c r="F733" s="3">
        <f>F731</f>
        <v>1</v>
      </c>
      <c r="G733" s="2" t="s">
        <v>18</v>
      </c>
      <c r="H733" s="40">
        <f>VLOOKUP($D733,PRECIOS_REFERENCIAS!A$3:D$90,4,FALSE)</f>
        <v>64.403155112394401</v>
      </c>
      <c r="I733" s="6">
        <f>H733*F733</f>
        <v>64.403155112394401</v>
      </c>
    </row>
    <row r="734" spans="1:9" hidden="1" outlineLevel="2">
      <c r="A734" s="23"/>
      <c r="B734" s="2"/>
      <c r="C734" s="2"/>
      <c r="D734" s="2"/>
      <c r="E734" s="5" t="str">
        <f>VLOOKUP($D733,PRECIOS_REFERENCIAS!A$3:D$90,3,FALSE)</f>
        <v>INSTALACIÓN DE PROTECCIÓN CONTRA SOBRETENSIONES</v>
      </c>
      <c r="F734" s="3"/>
      <c r="G734" s="2"/>
      <c r="H734" s="40"/>
      <c r="I734" s="6"/>
    </row>
    <row r="735" spans="1:9" hidden="1" outlineLevel="2">
      <c r="A735" s="24" t="s">
        <v>455</v>
      </c>
      <c r="B735" s="2" t="s">
        <v>67</v>
      </c>
      <c r="C735" s="2" t="s">
        <v>16</v>
      </c>
      <c r="D735" s="2" t="s">
        <v>67</v>
      </c>
      <c r="E735" s="39" t="str">
        <f>VLOOKUP($D735,PRECIOS_REFERENCIAS!A$3:D$90,2,FALSE)</f>
        <v>ROUTER VPN 4G</v>
      </c>
      <c r="F735" s="3">
        <v>1</v>
      </c>
      <c r="G735" s="2" t="s">
        <v>18</v>
      </c>
      <c r="H735" s="40">
        <f>VLOOKUP($D735,PRECIOS_REFERENCIAS!A$3:D$90,4,FALSE)</f>
        <v>560.25</v>
      </c>
      <c r="I735" s="6">
        <f>H735*F735</f>
        <v>560.25</v>
      </c>
    </row>
    <row r="736" spans="1:9" hidden="1" outlineLevel="2">
      <c r="A736" s="23"/>
      <c r="B736" s="2"/>
      <c r="C736" s="38"/>
      <c r="D736" s="2"/>
      <c r="E736" s="5" t="str">
        <f>VLOOKUP($D735,PRECIOS_REFERENCIAS!A$3:D$90,3,FALSE)</f>
        <v>ROUTER IPL-C-100-LW O SIMILAR</v>
      </c>
      <c r="F736" s="7"/>
      <c r="G736" s="7"/>
      <c r="H736" s="40"/>
      <c r="I736" s="6"/>
    </row>
    <row r="737" spans="1:9" hidden="1" outlineLevel="2">
      <c r="A737" s="24" t="s">
        <v>456</v>
      </c>
      <c r="B737" s="2" t="s">
        <v>20</v>
      </c>
      <c r="C737" s="2" t="s">
        <v>21</v>
      </c>
      <c r="D737" s="2" t="s">
        <v>69</v>
      </c>
      <c r="E737" s="39" t="str">
        <f>VLOOKUP($D737,PRECIOS_REFERENCIAS!A$3:D$90,2,FALSE)</f>
        <v>INSTALACION ROUTER 4G</v>
      </c>
      <c r="F737" s="3">
        <f>F735</f>
        <v>1</v>
      </c>
      <c r="G737" s="2" t="s">
        <v>18</v>
      </c>
      <c r="H737" s="40">
        <f>VLOOKUP($D737,PRECIOS_REFERENCIAS!A$3:D$90,4,FALSE)</f>
        <v>40</v>
      </c>
      <c r="I737" s="6">
        <f>H737*F737</f>
        <v>40</v>
      </c>
    </row>
    <row r="738" spans="1:9" hidden="1" outlineLevel="2">
      <c r="A738" s="23"/>
      <c r="B738" s="2"/>
      <c r="C738" s="2"/>
      <c r="D738" s="2"/>
      <c r="E738" s="5" t="str">
        <f>VLOOKUP($D737,PRECIOS_REFERENCIAS!A$3:D$90,3,FALSE)</f>
        <v>INSTALACIÓN DE ROUTER 4G</v>
      </c>
      <c r="F738" s="3"/>
      <c r="G738" s="2"/>
      <c r="I738" s="6"/>
    </row>
    <row r="739" spans="1:9" hidden="1" outlineLevel="2">
      <c r="A739" s="24" t="s">
        <v>457</v>
      </c>
      <c r="B739" s="2" t="s">
        <v>71</v>
      </c>
      <c r="C739" s="2" t="s">
        <v>16</v>
      </c>
      <c r="D739" s="2" t="s">
        <v>71</v>
      </c>
      <c r="E739" s="39" t="str">
        <f>VLOOKUP($D739,PRECIOS_REFERENCIAS!A$3:D$90,2,FALSE)</f>
        <v>ANTENA 4G CON CABLE DE 5 METROS Y KIT MONTAJE ANTENA</v>
      </c>
      <c r="F739" s="3">
        <v>1</v>
      </c>
      <c r="G739" s="2" t="s">
        <v>18</v>
      </c>
      <c r="H739" s="40">
        <f>VLOOKUP($D739,PRECIOS_REFERENCIAS!A$3:D$90,4,FALSE)</f>
        <v>152.67857142857142</v>
      </c>
      <c r="I739" s="6">
        <f>H739*F739</f>
        <v>152.67857142857142</v>
      </c>
    </row>
    <row r="740" spans="1:9" hidden="1" outlineLevel="2">
      <c r="A740" s="23"/>
      <c r="C740" s="38"/>
      <c r="E740" s="5" t="str">
        <f>VLOOKUP($D739,PRECIOS_REFERENCIAS!A$3:D$90,3,FALSE)</f>
        <v>ANTENA 310 + KIT MONTAJE ANTENA 310</v>
      </c>
      <c r="I740" s="6"/>
    </row>
    <row r="741" spans="1:9" hidden="1" outlineLevel="2">
      <c r="A741" s="24" t="s">
        <v>458</v>
      </c>
      <c r="B741" s="2" t="s">
        <v>20</v>
      </c>
      <c r="C741" s="2" t="s">
        <v>21</v>
      </c>
      <c r="D741" s="2" t="s">
        <v>73</v>
      </c>
      <c r="E741" s="39" t="str">
        <f>VLOOKUP($D741,PRECIOS_REFERENCIAS!A$3:D$90,2,FALSE)</f>
        <v>INSTALACION ANTENA EXTERIOR</v>
      </c>
      <c r="F741" s="3">
        <f>F739</f>
        <v>1</v>
      </c>
      <c r="G741" s="2" t="s">
        <v>18</v>
      </c>
      <c r="H741" s="40">
        <f>VLOOKUP($D741,PRECIOS_REFERENCIAS!A$3:D$90,4,FALSE)</f>
        <v>149.03086772191051</v>
      </c>
      <c r="I741" s="6">
        <f>H741*F741</f>
        <v>149.03086772191051</v>
      </c>
    </row>
    <row r="742" spans="1:9" hidden="1" outlineLevel="2">
      <c r="A742" s="23"/>
      <c r="B742" s="2"/>
      <c r="C742" s="2"/>
      <c r="D742" s="2"/>
      <c r="E742" s="5" t="str">
        <f>VLOOKUP($D741,PRECIOS_REFERENCIAS!A$3:D$90,3,FALSE)</f>
        <v>INSTALACIÓN DE ANTENA EXTERIOR + KIT</v>
      </c>
      <c r="F742" s="3"/>
      <c r="G742" s="2"/>
      <c r="H742" s="40"/>
      <c r="I742" s="6"/>
    </row>
    <row r="743" spans="1:9" hidden="1" outlineLevel="2">
      <c r="A743" s="24" t="s">
        <v>459</v>
      </c>
      <c r="B743" s="2" t="s">
        <v>75</v>
      </c>
      <c r="C743" s="2" t="s">
        <v>16</v>
      </c>
      <c r="D743" s="2" t="s">
        <v>75</v>
      </c>
      <c r="E743" s="39" t="str">
        <f>VLOOKUP($D743,PRECIOS_REFERENCIAS!A$3:D$90,2,FALSE)</f>
        <v>SUMINISTRO SWITCH 5P</v>
      </c>
      <c r="F743" s="3">
        <v>1</v>
      </c>
      <c r="G743" s="2" t="s">
        <v>18</v>
      </c>
      <c r="H743" s="40">
        <f>VLOOKUP($D743,PRECIOS_REFERENCIAS!A$3:D$90,4,FALSE)</f>
        <v>97.65</v>
      </c>
      <c r="I743" s="6">
        <f>H743*F743</f>
        <v>97.65</v>
      </c>
    </row>
    <row r="744" spans="1:9" hidden="1" outlineLevel="2">
      <c r="A744" s="23"/>
      <c r="B744" s="2"/>
      <c r="C744" s="38"/>
      <c r="D744" s="2"/>
      <c r="E744" s="5" t="str">
        <f>VLOOKUP($D743,PRECIOS_REFERENCIAS!A$3:D$90,3,FALSE)</f>
        <v>SwitchNOGest_5x100TXRJ45 / MCSESU053FN0</v>
      </c>
      <c r="F744" s="7"/>
      <c r="G744" s="7"/>
      <c r="H744" s="40"/>
      <c r="I744" s="6"/>
    </row>
    <row r="745" spans="1:9" hidden="1" outlineLevel="2">
      <c r="A745" s="24" t="s">
        <v>460</v>
      </c>
      <c r="B745" s="2" t="s">
        <v>20</v>
      </c>
      <c r="C745" s="2" t="s">
        <v>21</v>
      </c>
      <c r="D745" s="2" t="s">
        <v>77</v>
      </c>
      <c r="E745" s="39" t="str">
        <f>VLOOKUP($D745,PRECIOS_REFERENCIAS!A$3:D$90,2,FALSE)</f>
        <v>INSTALACION SWITCH</v>
      </c>
      <c r="F745" s="3">
        <f>F743</f>
        <v>1</v>
      </c>
      <c r="G745" s="2" t="s">
        <v>18</v>
      </c>
      <c r="H745" s="40">
        <f>VLOOKUP($D745,PRECIOS_REFERENCIAS!A$3:D$90,4,FALSE)</f>
        <v>40</v>
      </c>
      <c r="I745" s="6">
        <f>H745*F745</f>
        <v>40</v>
      </c>
    </row>
    <row r="746" spans="1:9" hidden="1" outlineLevel="2">
      <c r="A746" s="23"/>
      <c r="B746" s="2"/>
      <c r="C746" s="2"/>
      <c r="D746" s="2"/>
      <c r="E746" s="5" t="str">
        <f>VLOOKUP($D745,PRECIOS_REFERENCIAS!A$3:D$90,3,FALSE)</f>
        <v>INSTALACIÓN DE SWITCH</v>
      </c>
      <c r="F746" s="3"/>
      <c r="G746" s="2"/>
      <c r="I746" s="6"/>
    </row>
    <row r="747" spans="1:9" hidden="1" outlineLevel="2">
      <c r="A747" s="24" t="s">
        <v>461</v>
      </c>
      <c r="B747" s="2" t="s">
        <v>79</v>
      </c>
      <c r="C747" s="2" t="s">
        <v>80</v>
      </c>
      <c r="D747" s="2" t="s">
        <v>81</v>
      </c>
      <c r="E747" s="39" t="str">
        <f>VLOOKUP($D747,PRECIOS_REFERENCIAS!A$3:D$90,2,FALSE)</f>
        <v>PLANIFICACION</v>
      </c>
      <c r="F747" s="3">
        <v>1</v>
      </c>
      <c r="G747" s="2" t="s">
        <v>18</v>
      </c>
      <c r="H747" s="40">
        <f>VLOOKUP($D747,PRECIOS_REFERENCIAS!A$3:D$90,4,FALSE)</f>
        <v>40</v>
      </c>
      <c r="I747" s="6">
        <f>H747*F747</f>
        <v>40</v>
      </c>
    </row>
    <row r="748" spans="1:9" hidden="1" outlineLevel="2">
      <c r="A748" s="23"/>
      <c r="B748" s="2"/>
      <c r="C748" s="2"/>
      <c r="D748" s="2"/>
      <c r="E748" s="5" t="str">
        <f>VLOOKUP($D747,PRECIOS_REFERENCIAS!A$3:D$90,3,FALSE)</f>
        <v>PLANIFICACIÓN DE LOS TRABAJOS Y DESCARGA EN LOCAL DEL PROGRAMA DEL PLC</v>
      </c>
      <c r="F748" s="3"/>
      <c r="G748" s="2"/>
      <c r="H748" s="40"/>
      <c r="I748" s="6"/>
    </row>
    <row r="749" spans="1:9" hidden="1" outlineLevel="2">
      <c r="A749" s="24" t="s">
        <v>462</v>
      </c>
      <c r="B749" s="2" t="s">
        <v>83</v>
      </c>
      <c r="C749" s="2" t="s">
        <v>80</v>
      </c>
      <c r="D749" s="2" t="s">
        <v>80</v>
      </c>
      <c r="E749" s="39" t="str">
        <f>VLOOKUP($D749,PRECIOS_REFERENCIAS!A$3:D$90,2,FALSE)</f>
        <v>INGENIERIA + ESQUEMAS</v>
      </c>
      <c r="F749" s="3">
        <v>1</v>
      </c>
      <c r="G749" s="2" t="s">
        <v>18</v>
      </c>
      <c r="H749" s="40">
        <f>VLOOKUP($D749,PRECIOS_REFERENCIAS!A$3:D$90,4,FALSE)</f>
        <v>300</v>
      </c>
      <c r="I749" s="6">
        <f>H749*F749</f>
        <v>300</v>
      </c>
    </row>
    <row r="750" spans="1:9" ht="22.5" hidden="1" outlineLevel="2">
      <c r="A750" s="23"/>
      <c r="B750" s="2"/>
      <c r="C750" s="2"/>
      <c r="D750" s="2"/>
      <c r="E750" s="5" t="str">
        <f>VLOOKUP($D749,PRECIOS_REFERENCIAS!A$3:D$90,3,FALSE)</f>
        <v>INGENIERÍA DE ACTUALIZACIÓN DE ESQUEMAS ELÉCTRICOS. INCLUYE LA REVISIÓN LOCAL DE LOS CUADROS Y ELEMENTOS DE CONTROL, ASÍ COMO LA COMPROBACIÓN DE LAS SEÑALES DE CONTROL.</v>
      </c>
      <c r="F750" s="3"/>
      <c r="G750" s="2"/>
      <c r="H750" s="40"/>
      <c r="I750" s="6"/>
    </row>
    <row r="751" spans="1:9" hidden="1" outlineLevel="2">
      <c r="A751" s="24" t="s">
        <v>463</v>
      </c>
      <c r="B751" s="2" t="s">
        <v>88</v>
      </c>
      <c r="C751" s="2" t="s">
        <v>80</v>
      </c>
      <c r="D751" s="2" t="s">
        <v>89</v>
      </c>
      <c r="E751" s="39" t="str">
        <f>VLOOKUP($D751,PRECIOS_REFERENCIAS!A$3:D$90,2,FALSE)</f>
        <v>PROGRAMA PLC NUEVO</v>
      </c>
      <c r="F751" s="3">
        <v>1</v>
      </c>
      <c r="G751" s="2" t="s">
        <v>18</v>
      </c>
      <c r="H751" s="40">
        <f>VLOOKUP($D751,PRECIOS_REFERENCIAS!A$3:D$90,4,FALSE)</f>
        <v>407.75660964439658</v>
      </c>
      <c r="I751" s="6">
        <f>H751*F751</f>
        <v>407.75660964439658</v>
      </c>
    </row>
    <row r="752" spans="1:9" hidden="1" outlineLevel="2">
      <c r="A752" s="23"/>
      <c r="B752" s="2"/>
      <c r="C752" s="2"/>
      <c r="D752" s="2"/>
      <c r="E752" s="5" t="str">
        <f>VLOOKUP($D751,PRECIOS_REFERENCIAS!A$3:D$90,3,FALSE)</f>
        <v>MIGRACION DEL PROGRAMA ACTUAL A LA NUEVA PLATAFORMA DE PROGRAMACION</v>
      </c>
      <c r="I752" s="6"/>
    </row>
    <row r="753" spans="1:10" hidden="1" outlineLevel="2">
      <c r="A753" s="24" t="s">
        <v>464</v>
      </c>
      <c r="B753" s="2" t="s">
        <v>227</v>
      </c>
      <c r="C753" s="2" t="s">
        <v>80</v>
      </c>
      <c r="D753" s="2" t="s">
        <v>228</v>
      </c>
      <c r="E753" s="39" t="str">
        <f>VLOOKUP($D753,PRECIOS_REFERENCIAS!A$3:D$90,2,FALSE)</f>
        <v>PRGRAMA MODBUS REMOTA 1200</v>
      </c>
      <c r="F753" s="3">
        <v>1</v>
      </c>
      <c r="G753" s="2" t="s">
        <v>18</v>
      </c>
      <c r="H753" s="40">
        <f>VLOOKUP($D753,PRECIOS_REFERENCIAS!A$3:D$90,4,FALSE)</f>
        <v>50</v>
      </c>
      <c r="I753" s="6">
        <f>H753*F753</f>
        <v>50</v>
      </c>
    </row>
    <row r="754" spans="1:10" hidden="1" outlineLevel="2">
      <c r="A754" s="23"/>
      <c r="B754" s="2"/>
      <c r="C754" s="2"/>
      <c r="D754" s="2"/>
      <c r="E754" s="5" t="str">
        <f>VLOOKUP($D753,PRECIOS_REFERENCIAS!A$3:D$90,3,FALSE)</f>
        <v>PROGRAMACION COMUNICACIÓN MODBUS CON OS CAUDALIMETROS</v>
      </c>
      <c r="I754" s="6"/>
    </row>
    <row r="755" spans="1:10" hidden="1" outlineLevel="2">
      <c r="A755" s="24" t="s">
        <v>465</v>
      </c>
      <c r="B755" s="2" t="s">
        <v>94</v>
      </c>
      <c r="C755" s="2" t="s">
        <v>80</v>
      </c>
      <c r="D755" s="2" t="s">
        <v>95</v>
      </c>
      <c r="E755" s="39" t="str">
        <f>VLOOKUP($D755,PRECIOS_REFERENCIAS!A$3:D$90,2,FALSE)</f>
        <v>PEM REMOTA</v>
      </c>
      <c r="F755" s="3">
        <v>1</v>
      </c>
      <c r="G755" s="2" t="s">
        <v>18</v>
      </c>
      <c r="H755" s="40">
        <f>VLOOKUP($D755,PRECIOS_REFERENCIAS!A$3:D$90,4,FALSE)</f>
        <v>851.7</v>
      </c>
      <c r="I755" s="6">
        <f>H755*F755</f>
        <v>851.7</v>
      </c>
    </row>
    <row r="756" spans="1:10" hidden="1" outlineLevel="2">
      <c r="A756" s="23"/>
      <c r="B756" s="2"/>
      <c r="C756" s="2"/>
      <c r="D756" s="2"/>
      <c r="E756" s="5" t="str">
        <f>VLOOKUP($D755,PRECIOS_REFERENCIAS!A$3:D$90,3,FALSE)</f>
        <v>PUESTA EN MARCHA DEL PROGRAMA DE CONTROL LOCAL</v>
      </c>
      <c r="F756" s="3"/>
      <c r="G756" s="2"/>
      <c r="H756" s="40"/>
      <c r="I756" s="6"/>
    </row>
    <row r="757" spans="1:10" hidden="1" outlineLevel="2">
      <c r="A757" s="24" t="s">
        <v>466</v>
      </c>
      <c r="B757" s="2" t="s">
        <v>97</v>
      </c>
      <c r="C757" s="2" t="s">
        <v>80</v>
      </c>
      <c r="D757" s="2" t="s">
        <v>98</v>
      </c>
      <c r="E757" s="39" t="str">
        <f>VLOOKUP($D757,PRECIOS_REFERENCIAS!A$3:D$90,2,FALSE)</f>
        <v>REVISION SCADA</v>
      </c>
      <c r="F757" s="3">
        <v>1</v>
      </c>
      <c r="G757" s="2" t="s">
        <v>18</v>
      </c>
      <c r="H757" s="40">
        <f>VLOOKUP($D757,PRECIOS_REFERENCIAS!A$3:D$90,4,FALSE)</f>
        <v>60</v>
      </c>
      <c r="I757" s="6">
        <f>H757*F757</f>
        <v>60</v>
      </c>
    </row>
    <row r="758" spans="1:10" hidden="1" outlineLevel="2">
      <c r="A758" s="23"/>
      <c r="B758" s="2"/>
      <c r="C758" s="2"/>
      <c r="D758" s="2"/>
      <c r="E758" s="5" t="str">
        <f>VLOOKUP($D757,PRECIOS_REFERENCIAS!A$3:D$90,3,FALSE)</f>
        <v>REVISIÓN DEL PROGRAMA DE SUPERVISIÓN SCADA</v>
      </c>
      <c r="I758" s="6"/>
    </row>
    <row r="759" spans="1:10" hidden="1" outlineLevel="2">
      <c r="A759" s="24"/>
      <c r="B759" s="2"/>
      <c r="C759" s="2" t="s">
        <v>16</v>
      </c>
      <c r="D759" s="2"/>
      <c r="E759" s="76" t="str">
        <f>CONCATENATE(E692," - TOTAL HARDWARE")</f>
        <v>DEPOSITO EZKIO ALTO - TOTAL HARDWARE</v>
      </c>
      <c r="F759" s="74"/>
      <c r="G759" s="74"/>
      <c r="H759" s="74"/>
      <c r="I759" s="75">
        <f>I693+I697+I703+I707+I723+I727+I731+I735+I739+I743+I717+I711</f>
        <v>4302.684189635901</v>
      </c>
    </row>
    <row r="760" spans="1:10" hidden="1" outlineLevel="2">
      <c r="A760" s="23"/>
      <c r="B760" s="2"/>
      <c r="C760" s="2" t="s">
        <v>21</v>
      </c>
      <c r="D760" s="2"/>
      <c r="E760" s="76" t="str">
        <f>CONCATENATE(E692," - TOTAL INSTALACION")</f>
        <v>DEPOSITO EZKIO ALTO - TOTAL INSTALACION</v>
      </c>
      <c r="F760" s="74"/>
      <c r="G760" s="74"/>
      <c r="H760" s="74"/>
      <c r="I760" s="75">
        <f>I695+I701+I699+I715+I719+I725+I729+I733+I737+I741+I745+I705+I709+I721+I713</f>
        <v>1456.9086528332155</v>
      </c>
    </row>
    <row r="761" spans="1:10" hidden="1" outlineLevel="2">
      <c r="A761" s="24"/>
      <c r="B761" s="2"/>
      <c r="C761" s="2" t="s">
        <v>80</v>
      </c>
      <c r="D761" s="2"/>
      <c r="E761" s="76" t="str">
        <f>CONCATENATE(E692," - TOTAL INGENIERIA")</f>
        <v>DEPOSITO EZKIO ALTO - TOTAL INGENIERIA</v>
      </c>
      <c r="F761" s="74"/>
      <c r="G761" s="74"/>
      <c r="H761" s="74"/>
      <c r="I761" s="75">
        <f>I747+I749+I751+I755+I757+I753</f>
        <v>1709.4566096443966</v>
      </c>
      <c r="J761" s="22">
        <f>SUM(I759:I761)</f>
        <v>7469.0494521135133</v>
      </c>
    </row>
    <row r="762" spans="1:10" hidden="1" outlineLevel="2">
      <c r="E762" s="41" t="str">
        <f>CONCATENATE("TOTAL ",A692)</f>
        <v>TOTAL  SUBCAPÍTULO 01.12</v>
      </c>
      <c r="F762" s="41"/>
      <c r="G762" s="41"/>
      <c r="H762" s="41"/>
      <c r="I762" s="42">
        <f>SUM(I693:I758)</f>
        <v>7469.0494521135124</v>
      </c>
    </row>
    <row r="763" spans="1:10" hidden="1" outlineLevel="1">
      <c r="A763" s="44" t="s">
        <v>467</v>
      </c>
      <c r="B763" s="44"/>
      <c r="C763" s="44"/>
      <c r="D763" s="44"/>
      <c r="E763" s="43" t="s">
        <v>468</v>
      </c>
      <c r="F763" s="44"/>
      <c r="G763" s="44" t="s">
        <v>11</v>
      </c>
      <c r="H763" s="45"/>
      <c r="I763" s="64">
        <f>I829</f>
        <v>8421.8503022322238</v>
      </c>
    </row>
    <row r="764" spans="1:10" hidden="1" outlineLevel="2">
      <c r="A764" s="24" t="s">
        <v>469</v>
      </c>
      <c r="B764" s="2" t="s">
        <v>15</v>
      </c>
      <c r="C764" s="2" t="s">
        <v>16</v>
      </c>
      <c r="D764" s="2" t="s">
        <v>15</v>
      </c>
      <c r="E764" s="39" t="str">
        <f>VLOOKUP($D764,PRECIOS_REFERENCIAS!A$3:D$90,2,FALSE)</f>
        <v xml:space="preserve">CARRIL DIN </v>
      </c>
      <c r="F764" s="3">
        <v>1</v>
      </c>
      <c r="G764" s="2" t="s">
        <v>18</v>
      </c>
      <c r="H764" s="40">
        <f>VLOOKUP($D764,PRECIOS_REFERENCIAS!A$3:D$90,4,FALSE)</f>
        <v>2.6481182073295662</v>
      </c>
      <c r="I764" s="6">
        <f>H764*F764</f>
        <v>2.6481182073295662</v>
      </c>
    </row>
    <row r="765" spans="1:10" hidden="1" outlineLevel="2">
      <c r="A765" s="23"/>
      <c r="B765" s="2"/>
      <c r="C765" s="2"/>
      <c r="D765" s="2"/>
      <c r="E765" s="5" t="str">
        <f>VLOOKUP($D764,PRECIOS_REFERENCIAS!A$3:D$90,3,FALSE)</f>
        <v>CARRIL DIN PARA REMOTA S7-1200</v>
      </c>
      <c r="F765" s="3"/>
      <c r="G765" s="2"/>
      <c r="H765" s="40"/>
      <c r="I765" s="6"/>
    </row>
    <row r="766" spans="1:10" hidden="1" outlineLevel="2">
      <c r="A766" s="24" t="s">
        <v>470</v>
      </c>
      <c r="B766" s="2" t="s">
        <v>20</v>
      </c>
      <c r="C766" s="2" t="s">
        <v>21</v>
      </c>
      <c r="D766" s="2" t="s">
        <v>22</v>
      </c>
      <c r="E766" s="39" t="str">
        <f>VLOOKUP($D766,PRECIOS_REFERENCIAS!A$3:D$90,2,FALSE)</f>
        <v xml:space="preserve">INSTALACION CARRIL DIN </v>
      </c>
      <c r="F766" s="3">
        <v>1</v>
      </c>
      <c r="G766" s="2" t="s">
        <v>18</v>
      </c>
      <c r="H766" s="40">
        <f>VLOOKUP($D766,PRECIOS_REFERENCIAS!A$3:D$90,4,FALSE)</f>
        <v>35.402252939916011</v>
      </c>
      <c r="I766" s="6">
        <f>H766*F766</f>
        <v>35.402252939916011</v>
      </c>
    </row>
    <row r="767" spans="1:10" hidden="1" outlineLevel="2">
      <c r="A767" s="23"/>
      <c r="B767" s="2"/>
      <c r="C767" s="2"/>
      <c r="D767" s="2"/>
      <c r="E767" s="5" t="str">
        <f>VLOOKUP($D766,PRECIOS_REFERENCIAS!A$3:D$90,3,FALSE)</f>
        <v>SUSTITUCIÓN DE PERFIL SOPORTE DE PLC EXISTENTE POR NUEVO PERFIL DE PLC DEFINIDO, DENTRO DEL ARMARIO ELÉCTRICO ACTUAL.</v>
      </c>
      <c r="F767" s="3"/>
      <c r="G767" s="2"/>
      <c r="H767" s="40"/>
      <c r="I767" s="6"/>
    </row>
    <row r="768" spans="1:10" hidden="1" outlineLevel="2">
      <c r="A768" s="24" t="s">
        <v>471</v>
      </c>
      <c r="B768" s="2" t="s">
        <v>104</v>
      </c>
      <c r="C768" s="2" t="s">
        <v>16</v>
      </c>
      <c r="D768" s="2" t="s">
        <v>104</v>
      </c>
      <c r="E768" s="39" t="str">
        <f>VLOOKUP($D768,PRECIOS_REFERENCIAS!A$3:D$48,2,FALSE)</f>
        <v>SUMINISTRO DE CPU REMOTAS</v>
      </c>
      <c r="F768" s="3">
        <v>1</v>
      </c>
      <c r="G768" s="2" t="s">
        <v>18</v>
      </c>
      <c r="H768" s="40">
        <f>VLOOKUP($D768,PRECIOS_REFERENCIAS!A$3:D$48,4,FALSE)</f>
        <v>416.28749999999997</v>
      </c>
      <c r="I768" s="6">
        <f>H768*F768</f>
        <v>416.28749999999997</v>
      </c>
    </row>
    <row r="769" spans="1:9" hidden="1" outlineLevel="2">
      <c r="A769" s="23"/>
      <c r="B769" s="38"/>
      <c r="C769" s="38"/>
      <c r="D769" s="38"/>
      <c r="E769" s="5" t="str">
        <f>VLOOKUP($D768,PRECIOS_REFERENCIAS!A$3:D$48,3,FALSE)</f>
        <v>SIMATIC S7-1200 - CPU 1214C //6ES7214-1AG40-0XB0</v>
      </c>
      <c r="F769" s="7"/>
      <c r="G769" s="7"/>
      <c r="I769" s="6"/>
    </row>
    <row r="770" spans="1:9" hidden="1" outlineLevel="2">
      <c r="A770" s="24" t="s">
        <v>472</v>
      </c>
      <c r="B770" s="2" t="s">
        <v>20</v>
      </c>
      <c r="C770" s="2" t="s">
        <v>21</v>
      </c>
      <c r="D770" s="2" t="s">
        <v>28</v>
      </c>
      <c r="E770" s="39" t="str">
        <f>VLOOKUP($D770,PRECIOS_REFERENCIAS!A$3:D$90,2,FALSE)</f>
        <v>INSTALACION CPU</v>
      </c>
      <c r="F770" s="3">
        <v>1</v>
      </c>
      <c r="G770" s="2" t="s">
        <v>18</v>
      </c>
      <c r="H770" s="40">
        <f>VLOOKUP($D770,PRECIOS_REFERENCIAS!A$3:D$90,4,FALSE)</f>
        <v>123.90076030798227</v>
      </c>
      <c r="I770" s="6">
        <f>H770*F770</f>
        <v>123.90076030798227</v>
      </c>
    </row>
    <row r="771" spans="1:9" hidden="1" outlineLevel="2">
      <c r="A771" s="23"/>
      <c r="B771" s="2"/>
      <c r="C771" s="2"/>
      <c r="D771" s="2"/>
      <c r="E771" s="5" t="str">
        <f>VLOOKUP($D770,PRECIOS_REFERENCIAS!A$3:D$90,3,FALSE)</f>
        <v>SUSTITUCIÓN DE CPU DE PLC EXISTENTE POR NUEVA CPU DE PLC DEFINIDA</v>
      </c>
      <c r="F771" s="3"/>
      <c r="G771" s="2"/>
      <c r="H771" s="40"/>
      <c r="I771" s="6"/>
    </row>
    <row r="772" spans="1:9" hidden="1" outlineLevel="2">
      <c r="A772" s="24" t="s">
        <v>473</v>
      </c>
      <c r="B772" s="2" t="s">
        <v>153</v>
      </c>
      <c r="C772" s="2" t="s">
        <v>16</v>
      </c>
      <c r="D772" s="2" t="s">
        <v>153</v>
      </c>
      <c r="E772" s="39" t="str">
        <f>VLOOKUP($D772,PRECIOS_REFERENCIAS!A$3:D$48,2,FALSE)</f>
        <v>SUMINISTRO DE FUENTE ALIMENTACIÓN CPU REMOTAS</v>
      </c>
      <c r="F772" s="3">
        <v>1</v>
      </c>
      <c r="G772" s="2" t="s">
        <v>18</v>
      </c>
      <c r="H772" s="40">
        <f>VLOOKUP($D772,PRECIOS_REFERENCIAS!A$3:D$48,4,FALSE)</f>
        <v>180.01500000000001</v>
      </c>
      <c r="I772" s="6">
        <f>H772*F772</f>
        <v>180.01500000000001</v>
      </c>
    </row>
    <row r="773" spans="1:9" hidden="1" outlineLevel="2">
      <c r="A773" s="23"/>
      <c r="B773" s="7"/>
      <c r="C773" s="7"/>
      <c r="D773" s="7"/>
      <c r="E773" s="5" t="str">
        <f>VLOOKUP($D772,PRECIOS_REFERENCIAS!A$3:D$48,3,FALSE)</f>
        <v>SITOP PSU6200 24 V/10 A // 6EP3334-7SB00-3AX0    </v>
      </c>
      <c r="F773" s="7"/>
      <c r="G773" s="7"/>
      <c r="I773" s="6"/>
    </row>
    <row r="774" spans="1:9" hidden="1" outlineLevel="2">
      <c r="A774" s="24" t="s">
        <v>474</v>
      </c>
      <c r="B774" s="2" t="s">
        <v>155</v>
      </c>
      <c r="C774" s="2" t="s">
        <v>16</v>
      </c>
      <c r="D774" s="2" t="s">
        <v>156</v>
      </c>
      <c r="E774" s="39" t="str">
        <f>VLOOKUP($D774,PRECIOS_REFERENCIAS!A$3:D$98,2,FALSE)</f>
        <v>TARJETA DE MEMORIA S7-1200</v>
      </c>
      <c r="F774" s="3">
        <v>1</v>
      </c>
      <c r="G774" s="2" t="s">
        <v>18</v>
      </c>
      <c r="H774" s="40">
        <f>VLOOKUP($D774,PRECIOS_REFERENCIAS!A$3:D$100,4,FALSE)</f>
        <v>263.13750000000005</v>
      </c>
      <c r="I774" s="6">
        <f>H774*F774</f>
        <v>263.13750000000005</v>
      </c>
    </row>
    <row r="775" spans="1:9" hidden="1" outlineLevel="2">
      <c r="A775" s="23"/>
      <c r="B775" s="7"/>
      <c r="C775" s="7"/>
      <c r="D775" s="7"/>
      <c r="E775" s="5" t="str">
        <f>VLOOKUP($D774,PRECIOS_REFERENCIAS!A$3:D$98,3,FALSE)</f>
        <v>SIMATIC S7 Memory Card, 24 MB //6ES7954-8LF03-0AA0</v>
      </c>
      <c r="F775" s="7"/>
      <c r="G775" s="7"/>
      <c r="I775" s="6"/>
    </row>
    <row r="776" spans="1:9" hidden="1" outlineLevel="2">
      <c r="A776" s="24" t="s">
        <v>475</v>
      </c>
      <c r="B776" s="2" t="s">
        <v>158</v>
      </c>
      <c r="C776" s="2" t="s">
        <v>16</v>
      </c>
      <c r="D776" s="2" t="s">
        <v>159</v>
      </c>
      <c r="E776" s="39" t="str">
        <f>VLOOKUP($D776,PRECIOS_REFERENCIAS!A$3:D$90,2,FALSE)</f>
        <v>TARJETA COMUNICACIONES  S7-1200</v>
      </c>
      <c r="F776" s="3">
        <v>1</v>
      </c>
      <c r="G776" s="2" t="s">
        <v>18</v>
      </c>
      <c r="H776" s="40">
        <f>VLOOKUP($D776,PRECIOS_REFERENCIAS!A$3:D$90,4,FALSE)</f>
        <v>518.66999999999996</v>
      </c>
      <c r="I776" s="6">
        <f>H776*F776</f>
        <v>518.66999999999996</v>
      </c>
    </row>
    <row r="777" spans="1:9" hidden="1" outlineLevel="2">
      <c r="A777" s="23"/>
      <c r="B777" s="2"/>
      <c r="C777" s="38"/>
      <c r="D777" s="2"/>
      <c r="E777" s="5" t="str">
        <f>VLOOKUP($D776,PRECIOS_REFERENCIAS!A$3:D$90,3,FALSE)</f>
        <v>SIMATIC S7-1200  Modulo Ethernet CP 1243-1  //6GK7243-1BX30-0XE0</v>
      </c>
      <c r="F777" s="3"/>
      <c r="G777" s="2"/>
      <c r="H777" s="40"/>
      <c r="I777" s="6"/>
    </row>
    <row r="778" spans="1:9" hidden="1" outlineLevel="2">
      <c r="A778" s="24" t="s">
        <v>476</v>
      </c>
      <c r="B778" s="2" t="s">
        <v>20</v>
      </c>
      <c r="C778" s="2" t="s">
        <v>21</v>
      </c>
      <c r="D778" s="2" t="s">
        <v>161</v>
      </c>
      <c r="E778" s="39" t="str">
        <f>VLOOKUP($D778,PRECIOS_REFERENCIAS!A$3:D$90,2,FALSE)</f>
        <v>INSTALACION COM ADICIONAL</v>
      </c>
      <c r="F778" s="3">
        <v>1</v>
      </c>
      <c r="G778" s="2" t="s">
        <v>18</v>
      </c>
      <c r="H778" s="40">
        <f>VLOOKUP($D778,PRECIOS_REFERENCIAS!A$3:D$90,4,FALSE)</f>
        <v>40</v>
      </c>
      <c r="I778" s="6">
        <f>H778*F778</f>
        <v>40</v>
      </c>
    </row>
    <row r="779" spans="1:9" hidden="1" outlineLevel="2">
      <c r="A779" s="23"/>
      <c r="B779" s="7"/>
      <c r="C779" s="7"/>
      <c r="D779" s="7"/>
      <c r="E779" s="5" t="str">
        <f>VLOOKUP($D778,PRECIOS_REFERENCIAS!A$3:D$90,3,FALSE)</f>
        <v xml:space="preserve">INSTALACION TARJETA COMUNICACIONES ADICIONAL </v>
      </c>
      <c r="F779" s="7"/>
      <c r="G779" s="7"/>
      <c r="I779" s="6"/>
    </row>
    <row r="780" spans="1:9" hidden="1" outlineLevel="2">
      <c r="A780" s="24" t="s">
        <v>477</v>
      </c>
      <c r="B780" s="2" t="s">
        <v>108</v>
      </c>
      <c r="C780" s="2" t="s">
        <v>16</v>
      </c>
      <c r="D780" s="2" t="s">
        <v>108</v>
      </c>
      <c r="E780" s="39" t="str">
        <f>VLOOKUP($D780,PRECIOS_REFERENCIAS!A$3:D$48,2,FALSE)</f>
        <v>SUMINISTRO MÓDULO DE 16 ENTRADAS DIGITALES</v>
      </c>
      <c r="F780" s="3">
        <v>2</v>
      </c>
      <c r="G780" s="2" t="s">
        <v>18</v>
      </c>
      <c r="H780" s="40">
        <f>VLOOKUP($D780,PRECIOS_REFERENCIAS!A$3:D$48,4,FALSE)</f>
        <v>177.54749999999999</v>
      </c>
      <c r="I780" s="6">
        <f>H780*F780</f>
        <v>355.09499999999997</v>
      </c>
    </row>
    <row r="781" spans="1:9" hidden="1" outlineLevel="2">
      <c r="A781" s="23"/>
      <c r="B781" s="7"/>
      <c r="C781" s="7"/>
      <c r="D781" s="7"/>
      <c r="E781" s="5" t="str">
        <f>VLOOKUP($D780,PRECIOS_REFERENCIAS!A$3:D$48,3,FALSE)</f>
        <v xml:space="preserve">SIMATIC S7-1200,  Módulo SM1221 //6ES7221-1BH32-0XB0 </v>
      </c>
      <c r="F781" s="7"/>
      <c r="G781" s="7"/>
      <c r="I781" s="6"/>
    </row>
    <row r="782" spans="1:9" hidden="1" outlineLevel="2">
      <c r="A782" s="24" t="s">
        <v>478</v>
      </c>
      <c r="B782" s="2" t="s">
        <v>20</v>
      </c>
      <c r="C782" s="2" t="s">
        <v>21</v>
      </c>
      <c r="D782" s="2" t="s">
        <v>35</v>
      </c>
      <c r="E782" s="39" t="str">
        <f>VLOOKUP($D782,PRECIOS_REFERENCIAS!A$3:D$90,2,FALSE)</f>
        <v>INSTALACION ED</v>
      </c>
      <c r="F782" s="3">
        <v>3</v>
      </c>
      <c r="G782" s="2" t="s">
        <v>18</v>
      </c>
      <c r="H782" s="40">
        <f>VLOOKUP($D782,PRECIOS_REFERENCIAS!A$3:D$90,4,FALSE)</f>
        <v>161.97310014887609</v>
      </c>
      <c r="I782" s="6">
        <f>H782*F782</f>
        <v>485.91930044662826</v>
      </c>
    </row>
    <row r="783" spans="1:9" hidden="1" outlineLevel="2">
      <c r="A783" s="23"/>
      <c r="B783" s="2"/>
      <c r="C783" s="2"/>
      <c r="D783" s="2"/>
      <c r="E783" s="5" t="str">
        <f>VLOOKUP($D782,PRECIOS_REFERENCIAS!A$3:D$90,3,FALSE)</f>
        <v>SUSTITUCIÓN DE MÓDULO DE E/S DIGITALES DE PLC EXISTENTE POR NUEVO MÓDULO DE PLC DEFINIDO. ENTRADA DIGITAL 16</v>
      </c>
      <c r="F783" s="3"/>
      <c r="G783" s="2"/>
      <c r="H783" s="40"/>
      <c r="I783" s="6"/>
    </row>
    <row r="784" spans="1:9" hidden="1" outlineLevel="2">
      <c r="A784" s="24" t="s">
        <v>479</v>
      </c>
      <c r="B784" s="2" t="s">
        <v>165</v>
      </c>
      <c r="C784" s="2" t="s">
        <v>16</v>
      </c>
      <c r="D784" s="2" t="s">
        <v>165</v>
      </c>
      <c r="E784" s="39" t="str">
        <f>VLOOKUP($D784,PRECIOS_REFERENCIAS!A$3:D$48,2,FALSE)</f>
        <v>SUMINISTRO MÓDULO DE 16 SALIDAS DIGITALES</v>
      </c>
      <c r="F784" s="3">
        <v>1</v>
      </c>
      <c r="G784" s="2" t="s">
        <v>18</v>
      </c>
      <c r="H784" s="40">
        <f>VLOOKUP($D784,PRECIOS_REFERENCIAS!A$3:D$48,4,FALSE)</f>
        <v>177.54749999999999</v>
      </c>
      <c r="I784" s="6">
        <f>H784*F784</f>
        <v>177.54749999999999</v>
      </c>
    </row>
    <row r="785" spans="1:9" hidden="1" outlineLevel="2">
      <c r="A785" s="23"/>
      <c r="B785" s="7"/>
      <c r="C785" s="7"/>
      <c r="D785" s="7"/>
      <c r="E785" s="5" t="str">
        <f>VLOOKUP($D784,PRECIOS_REFERENCIAS!A$3:D$48,3,FALSE)</f>
        <v xml:space="preserve">SIMATIC S7-1200,  Módulo SM1222 //6ES7222-1BH32-0XB0 </v>
      </c>
      <c r="F785" s="7"/>
      <c r="G785" s="7"/>
      <c r="I785" s="6"/>
    </row>
    <row r="786" spans="1:9" hidden="1" outlineLevel="2">
      <c r="A786" s="24" t="s">
        <v>480</v>
      </c>
      <c r="B786" s="2" t="s">
        <v>20</v>
      </c>
      <c r="C786" s="2" t="s">
        <v>21</v>
      </c>
      <c r="D786" s="2" t="s">
        <v>41</v>
      </c>
      <c r="E786" s="39" t="str">
        <f>VLOOKUP($D786,PRECIOS_REFERENCIAS!A$3:D$90,2,FALSE)</f>
        <v>INSTALACION SD</v>
      </c>
      <c r="F786" s="3">
        <v>2</v>
      </c>
      <c r="G786" s="2" t="s">
        <v>18</v>
      </c>
      <c r="H786" s="40">
        <f>VLOOKUP($D786,PRECIOS_REFERENCIAS!A$3:D$90,4,FALSE)</f>
        <v>162.83522293745065</v>
      </c>
      <c r="I786" s="6">
        <f>H786*F786</f>
        <v>325.6704458749013</v>
      </c>
    </row>
    <row r="787" spans="1:9" hidden="1" outlineLevel="2">
      <c r="A787" s="23"/>
      <c r="B787" s="2"/>
      <c r="C787" s="2"/>
      <c r="D787" s="2"/>
      <c r="E787" s="5" t="str">
        <f>VLOOKUP($D786,PRECIOS_REFERENCIAS!A$3:D$90,3,FALSE)</f>
        <v>SUSTITUCIÓN DE MÓDULO DE E/S DIGITALES DE PLC EXISTENTE POR NUEVO MÓDULO DE PLC DEFINIDO. SALIDA DIGITAL 16</v>
      </c>
      <c r="F787" s="3"/>
      <c r="G787" s="2"/>
      <c r="H787" s="40"/>
      <c r="I787" s="6"/>
    </row>
    <row r="788" spans="1:9" hidden="1" outlineLevel="2">
      <c r="A788" s="24" t="s">
        <v>481</v>
      </c>
      <c r="B788" s="2" t="s">
        <v>114</v>
      </c>
      <c r="C788" s="2" t="s">
        <v>16</v>
      </c>
      <c r="D788" s="2" t="s">
        <v>114</v>
      </c>
      <c r="E788" s="39" t="str">
        <f>VLOOKUP($D788,PRECIOS_REFERENCIAS!A$3:D$48,2,FALSE)</f>
        <v>SUMINISTRO MÓDULO DE 8 ENTRADAS ANALÓGICAS</v>
      </c>
      <c r="F788" s="3">
        <v>1</v>
      </c>
      <c r="G788" s="2" t="s">
        <v>18</v>
      </c>
      <c r="H788" s="40">
        <f>VLOOKUP($D788,PRECIOS_REFERENCIAS!A$3:D$48,4,FALSE)</f>
        <v>372.39749999999998</v>
      </c>
      <c r="I788" s="6">
        <f>H788*F788</f>
        <v>372.39749999999998</v>
      </c>
    </row>
    <row r="789" spans="1:9" hidden="1" outlineLevel="2">
      <c r="A789" s="23"/>
      <c r="B789" s="7"/>
      <c r="C789" s="2"/>
      <c r="D789" s="7"/>
      <c r="E789" s="5" t="str">
        <f>VLOOKUP($D788,PRECIOS_REFERENCIAS!A$3:D$48,3,FALSE)</f>
        <v xml:space="preserve">SIMATIC S7-1200,  Módulo de Entradas analógicas, SM 1231, 8 EA //6ES7231-4HF32-0XB0 </v>
      </c>
      <c r="F789" s="7"/>
      <c r="G789" s="7"/>
      <c r="I789" s="6"/>
    </row>
    <row r="790" spans="1:9" hidden="1" outlineLevel="2">
      <c r="A790" s="24" t="s">
        <v>482</v>
      </c>
      <c r="B790" s="2" t="s">
        <v>20</v>
      </c>
      <c r="C790" s="2" t="s">
        <v>21</v>
      </c>
      <c r="D790" s="2" t="s">
        <v>46</v>
      </c>
      <c r="E790" s="39" t="str">
        <f>VLOOKUP($D790,PRECIOS_REFERENCIAS!A$3:D$90,2,FALSE)</f>
        <v>INSTALACION EA</v>
      </c>
      <c r="F790" s="3">
        <v>2</v>
      </c>
      <c r="G790" s="2" t="s">
        <v>18</v>
      </c>
      <c r="H790" s="40">
        <f>VLOOKUP($D790,PRECIOS_REFERENCIAS!A$3:D$90,4,FALSE)</f>
        <v>237.18351660213608</v>
      </c>
      <c r="I790" s="6">
        <f>H790*F790</f>
        <v>474.36703320427216</v>
      </c>
    </row>
    <row r="791" spans="1:9" hidden="1" outlineLevel="2">
      <c r="A791" s="23"/>
      <c r="B791" s="2"/>
      <c r="C791" s="2"/>
      <c r="D791" s="2"/>
      <c r="E791" s="5" t="str">
        <f>VLOOKUP($D790,PRECIOS_REFERENCIAS!A$3:D$90,3,FALSE)</f>
        <v>SUSTITUCIÓN DE MÓDULO DE E/S ANALÓGICAS DE PLC EXISTENTE POR NUEVO MÓDULO DE PLC DEFINIDO. ENTRADA ANALÓGICAS 8</v>
      </c>
      <c r="F791" s="3"/>
      <c r="G791" s="2"/>
      <c r="H791" s="40"/>
      <c r="I791" s="6"/>
    </row>
    <row r="792" spans="1:9" hidden="1" outlineLevel="2">
      <c r="A792" s="24" t="s">
        <v>483</v>
      </c>
      <c r="B792" s="2" t="s">
        <v>54</v>
      </c>
      <c r="C792" s="2" t="s">
        <v>16</v>
      </c>
      <c r="D792" s="2" t="s">
        <v>54</v>
      </c>
      <c r="E792" s="39" t="str">
        <f>VLOOKUP($D792,PRECIOS_REFERENCIAS!A$3:D$48,2,FALSE)</f>
        <v>HMI LOCAL 7" ETHERNET Y COLOR</v>
      </c>
      <c r="F792" s="3">
        <v>1</v>
      </c>
      <c r="G792" s="2" t="s">
        <v>18</v>
      </c>
      <c r="H792" s="40">
        <f>VLOOKUP($D792,PRECIOS_REFERENCIAS!A$3:D$48,4,FALSE)</f>
        <v>612.79</v>
      </c>
      <c r="I792" s="6">
        <f>H792*F792</f>
        <v>612.79</v>
      </c>
    </row>
    <row r="793" spans="1:9" hidden="1" outlineLevel="2">
      <c r="A793" s="23"/>
      <c r="B793" s="2"/>
      <c r="C793" s="7"/>
      <c r="D793" s="2"/>
      <c r="E793" s="5" t="str">
        <f>VLOOKUP($D792,PRECIOS_REFERENCIAS!A$3:D$48,3,FALSE)</f>
        <v>SIMATIC HMI, KTP700 Basic, Basic Panel, Manejo con teclado/táctil, pantalla TFT de 7", 65536 colores // 6ES7531-7NF00-0AB0</v>
      </c>
      <c r="F793" s="7"/>
      <c r="G793" s="7"/>
      <c r="I793" s="6"/>
    </row>
    <row r="794" spans="1:9" hidden="1" outlineLevel="2">
      <c r="A794" s="24" t="s">
        <v>484</v>
      </c>
      <c r="B794" s="2" t="s">
        <v>20</v>
      </c>
      <c r="C794" s="2" t="s">
        <v>21</v>
      </c>
      <c r="D794" s="2" t="s">
        <v>56</v>
      </c>
      <c r="E794" s="39" t="str">
        <f>VLOOKUP($D794,PRECIOS_REFERENCIAS!A$3:D$90,2,FALSE)</f>
        <v>INSTALACION HMI</v>
      </c>
      <c r="F794" s="3">
        <f>F792</f>
        <v>1</v>
      </c>
      <c r="G794" s="2" t="s">
        <v>18</v>
      </c>
      <c r="H794" s="40">
        <f>VLOOKUP($D794,PRECIOS_REFERENCIAS!A$3:D$90,4,FALSE)</f>
        <v>125</v>
      </c>
      <c r="I794" s="6">
        <f>H794*F794</f>
        <v>125</v>
      </c>
    </row>
    <row r="795" spans="1:9" hidden="1" outlineLevel="2">
      <c r="A795" s="23"/>
      <c r="B795" s="2"/>
      <c r="C795" s="2"/>
      <c r="D795" s="2"/>
      <c r="E795" s="5" t="str">
        <f>VLOOKUP($D794,PRECIOS_REFERENCIAS!A$3:D$90,3,FALSE)</f>
        <v>INSTALACIÓN DE PANTALLA HMI</v>
      </c>
      <c r="F795" s="3"/>
      <c r="G795" s="2"/>
      <c r="H795" s="40"/>
      <c r="I795" s="6"/>
    </row>
    <row r="796" spans="1:9" hidden="1" outlineLevel="2">
      <c r="A796" s="24" t="s">
        <v>485</v>
      </c>
      <c r="B796" s="2" t="s">
        <v>58</v>
      </c>
      <c r="C796" s="2" t="s">
        <v>16</v>
      </c>
      <c r="D796" s="2" t="s">
        <v>59</v>
      </c>
      <c r="E796" s="39" t="str">
        <f>VLOOKUP($D796,PRECIOS_REFERENCIAS!A$3:D$48,2,FALSE)</f>
        <v xml:space="preserve">SWITCH SHDSL 1 PUERTO </v>
      </c>
      <c r="F796" s="3">
        <v>1</v>
      </c>
      <c r="G796" s="2" t="s">
        <v>18</v>
      </c>
      <c r="H796" s="40">
        <f>VLOOKUP($D796,PRECIOS_REFERENCIAS!A$3:D$48,4,FALSE)</f>
        <v>828</v>
      </c>
      <c r="I796" s="6">
        <f>H796*F796</f>
        <v>828</v>
      </c>
    </row>
    <row r="797" spans="1:9" hidden="1" outlineLevel="2">
      <c r="A797" s="23"/>
      <c r="B797" s="2"/>
      <c r="C797" s="7"/>
      <c r="D797" s="2"/>
      <c r="E797" s="5" t="str">
        <f>VLOOKUP($D796,PRECIOS_REFERENCIAS!A$3:D$48,3,FALSE)</f>
        <v>SWITCH XSLAN+1400 O SIMILAR</v>
      </c>
      <c r="F797" s="7"/>
      <c r="G797" s="7"/>
      <c r="I797" s="6"/>
    </row>
    <row r="798" spans="1:9" hidden="1" outlineLevel="2">
      <c r="A798" s="24" t="s">
        <v>486</v>
      </c>
      <c r="B798" s="2" t="s">
        <v>20</v>
      </c>
      <c r="C798" s="2" t="s">
        <v>21</v>
      </c>
      <c r="D798" s="2" t="s">
        <v>61</v>
      </c>
      <c r="E798" s="39" t="str">
        <f>VLOOKUP($D798,PRECIOS_REFERENCIAS!A$3:D$90,2,FALSE)</f>
        <v>INSTALACION SWITCH SHDSL</v>
      </c>
      <c r="F798" s="3">
        <f>F796</f>
        <v>1</v>
      </c>
      <c r="G798" s="2" t="s">
        <v>18</v>
      </c>
      <c r="H798" s="40">
        <f>VLOOKUP($D798,PRECIOS_REFERENCIAS!A$3:D$90,4,FALSE)</f>
        <v>40</v>
      </c>
      <c r="I798" s="6">
        <f>H798*F798</f>
        <v>40</v>
      </c>
    </row>
    <row r="799" spans="1:9" hidden="1" outlineLevel="2">
      <c r="A799" s="23"/>
      <c r="B799" s="2"/>
      <c r="C799" s="2"/>
      <c r="D799" s="2"/>
      <c r="E799" s="5" t="str">
        <f>VLOOKUP($D798,PRECIOS_REFERENCIAS!A$3:D$90,3,FALSE)</f>
        <v>INSTALACIÓN DE ROUTER</v>
      </c>
      <c r="F799" s="3"/>
      <c r="G799" s="2"/>
      <c r="H799" s="40"/>
      <c r="I799" s="6"/>
    </row>
    <row r="800" spans="1:9" hidden="1" outlineLevel="2">
      <c r="A800" s="24" t="s">
        <v>487</v>
      </c>
      <c r="B800" s="2" t="s">
        <v>63</v>
      </c>
      <c r="C800" s="2" t="s">
        <v>16</v>
      </c>
      <c r="D800" s="2" t="s">
        <v>63</v>
      </c>
      <c r="E800" s="39" t="str">
        <f>VLOOKUP($D800,PRECIOS_REFERENCIAS!A$3:D$48,2,FALSE)</f>
        <v>DESCARGADOR DE SOBRETENSIONES LÍNEA SHDSL</v>
      </c>
      <c r="F800" s="3">
        <v>1</v>
      </c>
      <c r="G800" s="2" t="s">
        <v>18</v>
      </c>
      <c r="H800" s="40">
        <f>VLOOKUP($D800,PRECIOS_REFERENCIAS!A$3:D$48,4,FALSE)</f>
        <v>187</v>
      </c>
      <c r="I800" s="6">
        <f>H800*F800</f>
        <v>187</v>
      </c>
    </row>
    <row r="801" spans="1:9" hidden="1" outlineLevel="2">
      <c r="A801" s="23"/>
      <c r="B801" s="2"/>
      <c r="C801" s="7"/>
      <c r="D801" s="2"/>
      <c r="E801" s="5" t="str">
        <f>VLOOKUP($D800,PRECIOS_REFERENCIAS!A$3:D$48,3,FALSE)</f>
        <v>Equipo DT-TELE-SHDSL de Phoenix Contact con 2 puertos para conexión SHDSL</v>
      </c>
      <c r="F801" s="7"/>
      <c r="G801" s="7"/>
      <c r="I801" s="6"/>
    </row>
    <row r="802" spans="1:9" hidden="1" outlineLevel="2">
      <c r="A802" s="24" t="s">
        <v>488</v>
      </c>
      <c r="B802" s="2" t="s">
        <v>20</v>
      </c>
      <c r="C802" s="2" t="s">
        <v>21</v>
      </c>
      <c r="D802" s="2" t="s">
        <v>65</v>
      </c>
      <c r="E802" s="39" t="str">
        <f>VLOOKUP($D802,PRECIOS_REFERENCIAS!A$3:D$90,2,FALSE)</f>
        <v>INSTALACION DESCARGADOR</v>
      </c>
      <c r="F802" s="3">
        <f>F800</f>
        <v>1</v>
      </c>
      <c r="G802" s="2" t="s">
        <v>18</v>
      </c>
      <c r="H802" s="40">
        <f>VLOOKUP($D802,PRECIOS_REFERENCIAS!A$3:D$90,4,FALSE)</f>
        <v>64.403155112394401</v>
      </c>
      <c r="I802" s="6">
        <f>H802*F802</f>
        <v>64.403155112394401</v>
      </c>
    </row>
    <row r="803" spans="1:9" hidden="1" outlineLevel="2">
      <c r="A803" s="23"/>
      <c r="B803" s="2"/>
      <c r="C803" s="2"/>
      <c r="D803" s="2"/>
      <c r="E803" s="5" t="str">
        <f>VLOOKUP($D802,PRECIOS_REFERENCIAS!A$3:D$90,3,FALSE)</f>
        <v>INSTALACIÓN DE PROTECCIÓN CONTRA SOBRETENSIONES</v>
      </c>
      <c r="F803" s="3"/>
      <c r="G803" s="2"/>
      <c r="H803" s="40"/>
      <c r="I803" s="6"/>
    </row>
    <row r="804" spans="1:9" hidden="1" outlineLevel="2">
      <c r="A804" s="24" t="s">
        <v>489</v>
      </c>
      <c r="B804" s="2" t="s">
        <v>67</v>
      </c>
      <c r="C804" s="2" t="s">
        <v>16</v>
      </c>
      <c r="D804" s="2" t="s">
        <v>67</v>
      </c>
      <c r="E804" s="39" t="str">
        <f>VLOOKUP($D804,PRECIOS_REFERENCIAS!A$3:D$48,2,FALSE)</f>
        <v>ROUTER VPN 4G</v>
      </c>
      <c r="F804" s="3">
        <v>1</v>
      </c>
      <c r="G804" s="2" t="s">
        <v>18</v>
      </c>
      <c r="H804" s="40">
        <f>VLOOKUP($D804,PRECIOS_REFERENCIAS!A$3:D$48,4,FALSE)</f>
        <v>560.25</v>
      </c>
      <c r="I804" s="6">
        <f>H804*F804</f>
        <v>560.25</v>
      </c>
    </row>
    <row r="805" spans="1:9" hidden="1" outlineLevel="2">
      <c r="A805" s="23"/>
      <c r="B805" s="2"/>
      <c r="C805" s="7"/>
      <c r="D805" s="2"/>
      <c r="E805" s="5" t="str">
        <f>VLOOKUP($D804,PRECIOS_REFERENCIAS!A$3:D$48,3,FALSE)</f>
        <v>ROUTER IPL-C-100-LW O SIMILAR</v>
      </c>
      <c r="F805" s="7"/>
      <c r="G805" s="7"/>
      <c r="I805" s="6"/>
    </row>
    <row r="806" spans="1:9" hidden="1" outlineLevel="2">
      <c r="A806" s="24" t="s">
        <v>490</v>
      </c>
      <c r="B806" s="2" t="s">
        <v>20</v>
      </c>
      <c r="C806" s="2" t="s">
        <v>21</v>
      </c>
      <c r="D806" s="2" t="s">
        <v>69</v>
      </c>
      <c r="E806" s="39" t="str">
        <f>VLOOKUP($D806,PRECIOS_REFERENCIAS!A$3:D$90,2,FALSE)</f>
        <v>INSTALACION ROUTER 4G</v>
      </c>
      <c r="F806" s="3">
        <f>F804</f>
        <v>1</v>
      </c>
      <c r="G806" s="2" t="s">
        <v>18</v>
      </c>
      <c r="H806" s="40">
        <f>VLOOKUP($D806,PRECIOS_REFERENCIAS!A$3:D$90,4,FALSE)</f>
        <v>40</v>
      </c>
      <c r="I806" s="6">
        <f>H806*F806</f>
        <v>40</v>
      </c>
    </row>
    <row r="807" spans="1:9" hidden="1" outlineLevel="2">
      <c r="A807" s="23"/>
      <c r="B807" s="2"/>
      <c r="C807" s="2"/>
      <c r="D807" s="2"/>
      <c r="E807" s="5" t="str">
        <f>VLOOKUP($D806,PRECIOS_REFERENCIAS!A$3:D$90,3,FALSE)</f>
        <v>INSTALACIÓN DE ROUTER 4G</v>
      </c>
      <c r="F807" s="3"/>
      <c r="G807" s="2"/>
      <c r="H807" s="40"/>
      <c r="I807" s="6"/>
    </row>
    <row r="808" spans="1:9" hidden="1" outlineLevel="2">
      <c r="A808" s="24" t="s">
        <v>491</v>
      </c>
      <c r="B808" s="2" t="s">
        <v>71</v>
      </c>
      <c r="C808" s="2" t="s">
        <v>16</v>
      </c>
      <c r="D808" s="2" t="s">
        <v>71</v>
      </c>
      <c r="E808" s="39" t="str">
        <f>VLOOKUP($D808,PRECIOS_REFERENCIAS!A$3:D$48,2,FALSE)</f>
        <v>ANTENA 4G CON CABLE DE 5 METROS Y KIT MONTAJE ANTENA</v>
      </c>
      <c r="F808" s="3">
        <v>1</v>
      </c>
      <c r="G808" s="2" t="s">
        <v>18</v>
      </c>
      <c r="H808" s="40">
        <f>VLOOKUP($D808,PRECIOS_REFERENCIAS!A$3:D$48,4,FALSE)</f>
        <v>152.67857142857142</v>
      </c>
      <c r="I808" s="6">
        <f>H808*F808</f>
        <v>152.67857142857142</v>
      </c>
    </row>
    <row r="809" spans="1:9" hidden="1" outlineLevel="2">
      <c r="A809" s="23"/>
      <c r="C809" s="7"/>
      <c r="E809" s="5" t="str">
        <f>VLOOKUP($D808,PRECIOS_REFERENCIAS!A$3:D$48,3,FALSE)</f>
        <v>ANTENA 310 + KIT MONTAJE ANTENA 310</v>
      </c>
      <c r="I809" s="6"/>
    </row>
    <row r="810" spans="1:9" hidden="1" outlineLevel="2">
      <c r="A810" s="24" t="s">
        <v>492</v>
      </c>
      <c r="B810" s="2" t="s">
        <v>20</v>
      </c>
      <c r="C810" s="2" t="s">
        <v>21</v>
      </c>
      <c r="D810" s="2" t="s">
        <v>73</v>
      </c>
      <c r="E810" s="39" t="str">
        <f>VLOOKUP($D810,PRECIOS_REFERENCIAS!A$3:D$90,2,FALSE)</f>
        <v>INSTALACION ANTENA EXTERIOR</v>
      </c>
      <c r="F810" s="3">
        <f>F808</f>
        <v>1</v>
      </c>
      <c r="G810" s="2" t="s">
        <v>18</v>
      </c>
      <c r="H810" s="40">
        <f>VLOOKUP($D810,PRECIOS_REFERENCIAS!A$3:D$90,4,FALSE)</f>
        <v>149.03086772191051</v>
      </c>
      <c r="I810" s="6">
        <f>H810*F810</f>
        <v>149.03086772191051</v>
      </c>
    </row>
    <row r="811" spans="1:9" hidden="1" outlineLevel="2">
      <c r="A811" s="23"/>
      <c r="B811" s="2"/>
      <c r="C811" s="2"/>
      <c r="D811" s="2"/>
      <c r="E811" s="5" t="str">
        <f>VLOOKUP($D810,PRECIOS_REFERENCIAS!A$3:D$90,3,FALSE)</f>
        <v>INSTALACIÓN DE ANTENA EXTERIOR + KIT</v>
      </c>
      <c r="F811" s="3"/>
      <c r="G811" s="2"/>
      <c r="H811" s="40"/>
      <c r="I811" s="6"/>
    </row>
    <row r="812" spans="1:9" hidden="1" outlineLevel="2">
      <c r="A812" s="24" t="s">
        <v>493</v>
      </c>
      <c r="B812" s="2" t="s">
        <v>494</v>
      </c>
      <c r="C812" s="2" t="s">
        <v>16</v>
      </c>
      <c r="D812" s="2" t="s">
        <v>495</v>
      </c>
      <c r="E812" s="39" t="str">
        <f>VLOOKUP($D812,PRECIOS_REFERENCIAS!A$3:D$48,2,FALSE)</f>
        <v>SUMINISTRO CONVERSOR ETHERNET Y FIBRA OPTICA MULTIMODO 1P</v>
      </c>
      <c r="F812" s="3">
        <v>1</v>
      </c>
      <c r="G812" s="2" t="s">
        <v>18</v>
      </c>
      <c r="H812" s="40">
        <f>VLOOKUP($D812,PRECIOS_REFERENCIAS!A$3:D$48,4,FALSE)</f>
        <v>134.66</v>
      </c>
      <c r="I812" s="6">
        <f>H812*F812</f>
        <v>134.66</v>
      </c>
    </row>
    <row r="813" spans="1:9" hidden="1" outlineLevel="2">
      <c r="A813" s="23"/>
      <c r="B813" s="2"/>
      <c r="C813" s="38"/>
      <c r="D813" s="2"/>
      <c r="E813" s="5" t="str">
        <f>VLOOKUP($D812,PRECIOS_REFERENCIAS!A$3:D$48,3,FALSE)</f>
        <v xml:space="preserve">Transceiver 1 x 10/100Base-TX, 1 x 100Base-FX, MM-SC // SPIDER-SL-20-01T1M29999SY9HHHH </v>
      </c>
      <c r="F813" s="7"/>
      <c r="G813" s="7"/>
      <c r="I813" s="6"/>
    </row>
    <row r="814" spans="1:9" hidden="1" outlineLevel="2">
      <c r="A814" s="24" t="s">
        <v>496</v>
      </c>
      <c r="B814" s="2" t="s">
        <v>20</v>
      </c>
      <c r="C814" s="2" t="s">
        <v>21</v>
      </c>
      <c r="D814" s="2" t="s">
        <v>497</v>
      </c>
      <c r="E814" s="39" t="str">
        <f>VLOOKUP($D814,PRECIOS_REFERENCIAS!A$3:D$90,2,FALSE)</f>
        <v>INSTALACION TRANSCEIVER</v>
      </c>
      <c r="F814" s="3">
        <f>F812</f>
        <v>1</v>
      </c>
      <c r="G814" s="2" t="s">
        <v>18</v>
      </c>
      <c r="H814" s="40">
        <f>VLOOKUP($D814,PRECIOS_REFERENCIAS!A$3:D$90,4,FALSE)</f>
        <v>97.52318734391956</v>
      </c>
      <c r="I814" s="6">
        <f>H814*F814</f>
        <v>97.52318734391956</v>
      </c>
    </row>
    <row r="815" spans="1:9" hidden="1" outlineLevel="2">
      <c r="A815" s="23"/>
      <c r="B815" s="2"/>
      <c r="C815" s="2"/>
      <c r="D815" s="2"/>
      <c r="E815" s="5" t="str">
        <f>VLOOKUP($D814,PRECIOS_REFERENCIAS!A$3:D$90,3,FALSE)</f>
        <v>INSTALACIÓN DE TRANSCEIVER ETHERNET - FIBRA OPTICA</v>
      </c>
      <c r="F815" s="3"/>
      <c r="G815" s="2"/>
      <c r="H815" s="40"/>
      <c r="I815" s="6"/>
    </row>
    <row r="816" spans="1:9" hidden="1" outlineLevel="2">
      <c r="A816" s="24" t="s">
        <v>498</v>
      </c>
      <c r="B816" s="2" t="s">
        <v>79</v>
      </c>
      <c r="C816" s="2" t="s">
        <v>80</v>
      </c>
      <c r="D816" s="2" t="s">
        <v>81</v>
      </c>
      <c r="E816" s="39" t="str">
        <f>VLOOKUP($D816,PRECIOS_REFERENCIAS!A$3:D$90,2,FALSE)</f>
        <v>PLANIFICACION</v>
      </c>
      <c r="F816" s="3">
        <v>1</v>
      </c>
      <c r="G816" s="2" t="s">
        <v>18</v>
      </c>
      <c r="H816" s="40">
        <f>VLOOKUP($D816,PRECIOS_REFERENCIAS!A$3:D$90,4,FALSE)</f>
        <v>40</v>
      </c>
      <c r="I816" s="6">
        <f>H816*F816</f>
        <v>40</v>
      </c>
    </row>
    <row r="817" spans="1:10" hidden="1" outlineLevel="2">
      <c r="A817" s="23"/>
      <c r="B817" s="2"/>
      <c r="C817" s="2"/>
      <c r="D817" s="2"/>
      <c r="E817" s="5" t="str">
        <f>VLOOKUP($D816,PRECIOS_REFERENCIAS!A$3:D$90,3,FALSE)</f>
        <v>PLANIFICACIÓN DE LOS TRABAJOS Y DESCARGA EN LOCAL DEL PROGRAMA DEL PLC</v>
      </c>
      <c r="F817" s="3"/>
      <c r="G817" s="2"/>
      <c r="H817" s="40"/>
      <c r="I817" s="6"/>
    </row>
    <row r="818" spans="1:10" hidden="1" outlineLevel="2">
      <c r="A818" s="24" t="s">
        <v>499</v>
      </c>
      <c r="B818" s="2" t="s">
        <v>83</v>
      </c>
      <c r="C818" s="2" t="s">
        <v>80</v>
      </c>
      <c r="D818" s="2" t="s">
        <v>80</v>
      </c>
      <c r="E818" s="39" t="str">
        <f>VLOOKUP($D818,PRECIOS_REFERENCIAS!A$3:D$90,2,FALSE)</f>
        <v>INGENIERIA + ESQUEMAS</v>
      </c>
      <c r="F818" s="3">
        <v>1</v>
      </c>
      <c r="G818" s="2" t="s">
        <v>18</v>
      </c>
      <c r="H818" s="40">
        <f>VLOOKUP($D818,PRECIOS_REFERENCIAS!A$3:D$90,4,FALSE)</f>
        <v>300</v>
      </c>
      <c r="I818" s="6">
        <f>H818*F818</f>
        <v>300</v>
      </c>
    </row>
    <row r="819" spans="1:10" ht="22.5" hidden="1" outlineLevel="2">
      <c r="A819" s="23"/>
      <c r="B819" s="2"/>
      <c r="C819" s="2"/>
      <c r="D819" s="2"/>
      <c r="E819" s="5" t="str">
        <f>VLOOKUP($D818,PRECIOS_REFERENCIAS!A$3:D$90,3,FALSE)</f>
        <v>INGENIERÍA DE ACTUALIZACIÓN DE ESQUEMAS ELÉCTRICOS. INCLUYE LA REVISIÓN LOCAL DE LOS CUADROS Y ELEMENTOS DE CONTROL, ASÍ COMO LA COMPROBACIÓN DE LAS SEÑALES DE CONTROL.</v>
      </c>
      <c r="F819" s="3"/>
      <c r="G819" s="2"/>
      <c r="H819" s="40"/>
      <c r="I819" s="6"/>
    </row>
    <row r="820" spans="1:10" hidden="1" outlineLevel="2">
      <c r="A820" s="24" t="s">
        <v>500</v>
      </c>
      <c r="B820" s="2" t="s">
        <v>88</v>
      </c>
      <c r="C820" s="2" t="s">
        <v>80</v>
      </c>
      <c r="D820" s="2" t="s">
        <v>89</v>
      </c>
      <c r="E820" s="39" t="str">
        <f>VLOOKUP($D820,PRECIOS_REFERENCIAS!A$3:D$90,2,FALSE)</f>
        <v>PROGRAMA PLC NUEVO</v>
      </c>
      <c r="F820" s="3">
        <v>1</v>
      </c>
      <c r="G820" s="2" t="s">
        <v>18</v>
      </c>
      <c r="H820" s="40">
        <f>VLOOKUP($D820,PRECIOS_REFERENCIAS!A$3:D$90,4,FALSE)</f>
        <v>407.75660964439658</v>
      </c>
      <c r="I820" s="6">
        <f>H820*F820</f>
        <v>407.75660964439658</v>
      </c>
    </row>
    <row r="821" spans="1:10" hidden="1" outlineLevel="2">
      <c r="A821" s="23"/>
      <c r="B821" s="2"/>
      <c r="C821" s="2"/>
      <c r="D821" s="2"/>
      <c r="E821" s="5" t="str">
        <f>VLOOKUP($D820,PRECIOS_REFERENCIAS!A$3:D$90,3,FALSE)</f>
        <v>MIGRACION DEL PROGRAMA ACTUAL A LA NUEVA PLATAFORMA DE PROGRAMACION</v>
      </c>
      <c r="I821" s="6"/>
    </row>
    <row r="822" spans="1:10" hidden="1" outlineLevel="2">
      <c r="A822" s="24" t="s">
        <v>501</v>
      </c>
      <c r="B822" s="2" t="s">
        <v>94</v>
      </c>
      <c r="C822" s="2" t="s">
        <v>80</v>
      </c>
      <c r="D822" s="2" t="s">
        <v>95</v>
      </c>
      <c r="E822" s="39" t="str">
        <f>VLOOKUP($D822,PRECIOS_REFERENCIAS!A$3:D$90,2,FALSE)</f>
        <v>PEM REMOTA</v>
      </c>
      <c r="F822" s="3">
        <v>1</v>
      </c>
      <c r="G822" s="2" t="s">
        <v>18</v>
      </c>
      <c r="H822" s="40">
        <f>VLOOKUP($D822,PRECIOS_REFERENCIAS!A$3:D$90,4,FALSE)</f>
        <v>851.7</v>
      </c>
      <c r="I822" s="6">
        <f>H822*F822</f>
        <v>851.7</v>
      </c>
    </row>
    <row r="823" spans="1:10" hidden="1" outlineLevel="2">
      <c r="A823" s="23"/>
      <c r="B823" s="2"/>
      <c r="C823" s="2"/>
      <c r="D823" s="2"/>
      <c r="E823" s="5" t="str">
        <f>VLOOKUP($D822,PRECIOS_REFERENCIAS!A$3:D$90,3,FALSE)</f>
        <v>PUESTA EN MARCHA DEL PROGRAMA DE CONTROL LOCAL</v>
      </c>
      <c r="F823" s="3"/>
      <c r="G823" s="2"/>
      <c r="H823" s="40"/>
      <c r="I823" s="6"/>
    </row>
    <row r="824" spans="1:10" hidden="1" outlineLevel="2">
      <c r="A824" s="24" t="s">
        <v>502</v>
      </c>
      <c r="B824" s="2" t="s">
        <v>97</v>
      </c>
      <c r="C824" s="2" t="s">
        <v>80</v>
      </c>
      <c r="D824" s="2" t="s">
        <v>98</v>
      </c>
      <c r="E824" s="39" t="str">
        <f>VLOOKUP($D824,PRECIOS_REFERENCIAS!A$3:D$90,2,FALSE)</f>
        <v>REVISION SCADA</v>
      </c>
      <c r="F824" s="3">
        <v>1</v>
      </c>
      <c r="G824" s="2" t="s">
        <v>18</v>
      </c>
      <c r="H824" s="40">
        <f>VLOOKUP($D824,PRECIOS_REFERENCIAS!A$3:D$90,4,FALSE)</f>
        <v>60</v>
      </c>
      <c r="I824" s="6">
        <f>H824*F824</f>
        <v>60</v>
      </c>
    </row>
    <row r="825" spans="1:10" hidden="1" outlineLevel="2">
      <c r="A825" s="23"/>
      <c r="B825" s="2"/>
      <c r="C825" s="2"/>
      <c r="D825" s="2"/>
      <c r="E825" s="5" t="str">
        <f>VLOOKUP($D824,PRECIOS_REFERENCIAS!A$3:D$90,3,FALSE)</f>
        <v>REVISIÓN DEL PROGRAMA DE SUPERVISIÓN SCADA</v>
      </c>
      <c r="I825" s="6"/>
    </row>
    <row r="826" spans="1:10" hidden="1" outlineLevel="2">
      <c r="A826" s="24"/>
      <c r="B826" s="2"/>
      <c r="C826" s="2" t="s">
        <v>16</v>
      </c>
      <c r="D826" s="2"/>
      <c r="E826" s="76" t="str">
        <f>CONCATENATE(E763," - TOTAL HARDWARE")</f>
        <v>ER8 BOMBEO ALEGI - TOTAL HARDWARE</v>
      </c>
      <c r="F826" s="74"/>
      <c r="G826" s="74"/>
      <c r="H826" s="74"/>
      <c r="I826" s="75">
        <f>I764+I768+I772+I780+I784+I788+I792+I796+I800+I804+I808+I776+I812+I774</f>
        <v>4761.1766896359004</v>
      </c>
    </row>
    <row r="827" spans="1:10" hidden="1" outlineLevel="2">
      <c r="A827" s="23"/>
      <c r="B827" s="2"/>
      <c r="C827" s="2" t="s">
        <v>21</v>
      </c>
      <c r="D827" s="2"/>
      <c r="E827" s="76" t="str">
        <f>CONCATENATE(E763," - TOTAL INSTALACION")</f>
        <v>ER8 BOMBEO ALEGI - TOTAL INSTALACION</v>
      </c>
      <c r="F827" s="74"/>
      <c r="G827" s="74"/>
      <c r="H827" s="74"/>
      <c r="I827" s="75">
        <f>I766+I770+I782+I778+I786+I790+I794+I798+I802+I806+I810+I814</f>
        <v>2001.2170029519245</v>
      </c>
    </row>
    <row r="828" spans="1:10" hidden="1" outlineLevel="2">
      <c r="A828" s="23"/>
      <c r="B828" s="2"/>
      <c r="C828" s="2" t="s">
        <v>80</v>
      </c>
      <c r="D828" s="2"/>
      <c r="E828" s="76" t="str">
        <f>CONCATENATE(E763," - TOTAL INGENIERIA")</f>
        <v>ER8 BOMBEO ALEGI - TOTAL INGENIERIA</v>
      </c>
      <c r="F828" s="74"/>
      <c r="G828" s="74"/>
      <c r="H828" s="74"/>
      <c r="I828" s="75">
        <f>I816+I818+I820+I822+I824</f>
        <v>1659.4566096443966</v>
      </c>
      <c r="J828" s="22">
        <f>SUM(I826:I828)</f>
        <v>8421.850302232222</v>
      </c>
    </row>
    <row r="829" spans="1:10" hidden="1" outlineLevel="2">
      <c r="E829" s="41" t="s">
        <v>503</v>
      </c>
      <c r="F829" s="41"/>
      <c r="G829" s="41"/>
      <c r="H829" s="41"/>
      <c r="I829" s="42">
        <f>SUM(I764:I825)</f>
        <v>8421.8503022322238</v>
      </c>
    </row>
    <row r="830" spans="1:10" hidden="1" outlineLevel="1">
      <c r="A830" s="44" t="s">
        <v>504</v>
      </c>
      <c r="B830" s="44"/>
      <c r="C830" s="44"/>
      <c r="D830" s="44"/>
      <c r="E830" s="43" t="s">
        <v>505</v>
      </c>
      <c r="F830" s="44"/>
      <c r="G830" s="44" t="s">
        <v>11</v>
      </c>
      <c r="H830" s="45"/>
      <c r="I830" s="64">
        <f>I898</f>
        <v>6709.7530009471748</v>
      </c>
    </row>
    <row r="831" spans="1:10" hidden="1" outlineLevel="2">
      <c r="A831" s="24" t="s">
        <v>506</v>
      </c>
      <c r="B831" s="2" t="s">
        <v>15</v>
      </c>
      <c r="C831" s="2" t="s">
        <v>16</v>
      </c>
      <c r="D831" s="2" t="s">
        <v>15</v>
      </c>
      <c r="E831" s="39" t="str">
        <f>VLOOKUP($D831,PRECIOS_REFERENCIAS!A$3:D$90,2,FALSE)</f>
        <v xml:space="preserve">CARRIL DIN </v>
      </c>
      <c r="F831" s="3">
        <v>1</v>
      </c>
      <c r="G831" s="2" t="s">
        <v>18</v>
      </c>
      <c r="H831" s="40">
        <f>VLOOKUP($D831,PRECIOS_REFERENCIAS!A$3:D$90,4,FALSE)</f>
        <v>2.6481182073295662</v>
      </c>
      <c r="I831" s="6">
        <f>H831*F831</f>
        <v>2.6481182073295662</v>
      </c>
    </row>
    <row r="832" spans="1:10" hidden="1" outlineLevel="2">
      <c r="A832" s="23"/>
      <c r="B832" s="2"/>
      <c r="C832" s="2"/>
      <c r="D832" s="2"/>
      <c r="E832" s="5" t="str">
        <f>VLOOKUP($D831,PRECIOS_REFERENCIAS!A$3:D$90,3,FALSE)</f>
        <v>CARRIL DIN PARA REMOTA S7-1200</v>
      </c>
      <c r="F832" s="3"/>
      <c r="G832" s="2"/>
      <c r="H832" s="40"/>
      <c r="I832" s="6"/>
    </row>
    <row r="833" spans="1:9" hidden="1" outlineLevel="2">
      <c r="A833" s="24" t="s">
        <v>507</v>
      </c>
      <c r="B833" s="2" t="s">
        <v>20</v>
      </c>
      <c r="C833" s="2" t="s">
        <v>21</v>
      </c>
      <c r="D833" s="2" t="s">
        <v>22</v>
      </c>
      <c r="E833" s="39" t="str">
        <f>VLOOKUP($D833,PRECIOS_REFERENCIAS!A$3:D$90,2,FALSE)</f>
        <v xml:space="preserve">INSTALACION CARRIL DIN </v>
      </c>
      <c r="F833" s="3">
        <v>1</v>
      </c>
      <c r="G833" s="2" t="s">
        <v>18</v>
      </c>
      <c r="H833" s="40">
        <f>VLOOKUP($D833,PRECIOS_REFERENCIAS!A$3:D$90,4,FALSE)</f>
        <v>35.402252939916011</v>
      </c>
      <c r="I833" s="6">
        <f>H833*F833</f>
        <v>35.402252939916011</v>
      </c>
    </row>
    <row r="834" spans="1:9" hidden="1" outlineLevel="2">
      <c r="A834" s="23"/>
      <c r="B834" s="2"/>
      <c r="C834" s="2"/>
      <c r="D834" s="2"/>
      <c r="E834" s="5" t="str">
        <f>VLOOKUP($D833,PRECIOS_REFERENCIAS!A$3:D$90,3,FALSE)</f>
        <v>SUSTITUCIÓN DE PERFIL SOPORTE DE PLC EXISTENTE POR NUEVO PERFIL DE PLC DEFINIDO, DENTRO DEL ARMARIO ELÉCTRICO ACTUAL.</v>
      </c>
      <c r="F834" s="3"/>
      <c r="G834" s="2"/>
      <c r="H834" s="40"/>
      <c r="I834" s="6"/>
    </row>
    <row r="835" spans="1:9" hidden="1" outlineLevel="2">
      <c r="A835" s="24" t="s">
        <v>508</v>
      </c>
      <c r="B835" s="2" t="s">
        <v>104</v>
      </c>
      <c r="C835" s="2" t="s">
        <v>16</v>
      </c>
      <c r="D835" s="2" t="s">
        <v>104</v>
      </c>
      <c r="E835" s="39" t="str">
        <f>VLOOKUP($D835,PRECIOS_REFERENCIAS!A$3:D$48,2,FALSE)</f>
        <v>SUMINISTRO DE CPU REMOTAS</v>
      </c>
      <c r="F835" s="3">
        <v>1</v>
      </c>
      <c r="G835" s="2" t="s">
        <v>18</v>
      </c>
      <c r="H835" s="40">
        <f>VLOOKUP($D835,PRECIOS_REFERENCIAS!A$3:D$48,4,FALSE)</f>
        <v>416.28749999999997</v>
      </c>
      <c r="I835" s="6">
        <f>H835*F835</f>
        <v>416.28749999999997</v>
      </c>
    </row>
    <row r="836" spans="1:9" hidden="1" outlineLevel="2">
      <c r="A836" s="23"/>
      <c r="B836" s="38"/>
      <c r="C836" s="38"/>
      <c r="D836" s="38"/>
      <c r="E836" s="5" t="str">
        <f>VLOOKUP($D835,PRECIOS_REFERENCIAS!A$3:D$48,3,FALSE)</f>
        <v>SIMATIC S7-1200 - CPU 1214C //6ES7214-1AG40-0XB0</v>
      </c>
      <c r="F836" s="7"/>
      <c r="G836" s="7"/>
      <c r="I836" s="6"/>
    </row>
    <row r="837" spans="1:9" hidden="1" outlineLevel="2">
      <c r="A837" s="24" t="s">
        <v>509</v>
      </c>
      <c r="B837" s="2" t="s">
        <v>20</v>
      </c>
      <c r="C837" s="2" t="s">
        <v>21</v>
      </c>
      <c r="D837" s="2" t="s">
        <v>28</v>
      </c>
      <c r="E837" s="39" t="str">
        <f>VLOOKUP($D837,PRECIOS_REFERENCIAS!A$3:D$90,2,FALSE)</f>
        <v>INSTALACION CPU</v>
      </c>
      <c r="F837" s="3">
        <v>1</v>
      </c>
      <c r="G837" s="2" t="s">
        <v>18</v>
      </c>
      <c r="H837" s="40">
        <f>VLOOKUP($D837,PRECIOS_REFERENCIAS!A$3:D$90,4,FALSE)</f>
        <v>123.90076030798227</v>
      </c>
      <c r="I837" s="6">
        <f>H837*F837</f>
        <v>123.90076030798227</v>
      </c>
    </row>
    <row r="838" spans="1:9" hidden="1" outlineLevel="2">
      <c r="A838" s="23"/>
      <c r="B838" s="2"/>
      <c r="C838" s="2"/>
      <c r="D838" s="2"/>
      <c r="E838" s="5" t="str">
        <f>VLOOKUP($D837,PRECIOS_REFERENCIAS!A$3:D$90,3,FALSE)</f>
        <v>SUSTITUCIÓN DE CPU DE PLC EXISTENTE POR NUEVA CPU DE PLC DEFINIDA</v>
      </c>
      <c r="F838" s="3"/>
      <c r="G838" s="2"/>
      <c r="H838" s="40"/>
      <c r="I838" s="6"/>
    </row>
    <row r="839" spans="1:9" hidden="1" outlineLevel="2">
      <c r="A839" s="24" t="s">
        <v>510</v>
      </c>
      <c r="B839" s="2" t="s">
        <v>153</v>
      </c>
      <c r="C839" s="2" t="s">
        <v>16</v>
      </c>
      <c r="D839" s="2" t="s">
        <v>153</v>
      </c>
      <c r="E839" s="39" t="str">
        <f>VLOOKUP($D839,PRECIOS_REFERENCIAS!A$3:D$48,2,FALSE)</f>
        <v>SUMINISTRO DE FUENTE ALIMENTACIÓN CPU REMOTAS</v>
      </c>
      <c r="F839" s="3">
        <v>1</v>
      </c>
      <c r="G839" s="2" t="s">
        <v>18</v>
      </c>
      <c r="H839" s="40">
        <f>VLOOKUP($D839,PRECIOS_REFERENCIAS!A$3:D$48,4,FALSE)</f>
        <v>180.01500000000001</v>
      </c>
      <c r="I839" s="6">
        <f>H839*F839</f>
        <v>180.01500000000001</v>
      </c>
    </row>
    <row r="840" spans="1:9" hidden="1" outlineLevel="2">
      <c r="A840" s="23"/>
      <c r="B840" s="7"/>
      <c r="C840" s="7"/>
      <c r="D840" s="7"/>
      <c r="E840" s="5" t="str">
        <f>VLOOKUP($D839,PRECIOS_REFERENCIAS!A$3:D$48,3,FALSE)</f>
        <v>SITOP PSU6200 24 V/10 A // 6EP3334-7SB00-3AX0    </v>
      </c>
      <c r="F840" s="7"/>
      <c r="G840" s="7"/>
      <c r="I840" s="6"/>
    </row>
    <row r="841" spans="1:9" hidden="1" outlineLevel="2">
      <c r="A841" s="24" t="s">
        <v>511</v>
      </c>
      <c r="B841" s="2" t="s">
        <v>155</v>
      </c>
      <c r="C841" s="2" t="s">
        <v>16</v>
      </c>
      <c r="D841" s="2" t="s">
        <v>156</v>
      </c>
      <c r="E841" s="39" t="str">
        <f>VLOOKUP($D841,PRECIOS_REFERENCIAS!A$3:D$98,2,FALSE)</f>
        <v>TARJETA DE MEMORIA S7-1200</v>
      </c>
      <c r="F841" s="3">
        <v>1</v>
      </c>
      <c r="G841" s="2" t="s">
        <v>18</v>
      </c>
      <c r="H841" s="40">
        <f>VLOOKUP($D841,PRECIOS_REFERENCIAS!A$3:D$100,4,FALSE)</f>
        <v>263.13750000000005</v>
      </c>
      <c r="I841" s="6">
        <f>H841*F841</f>
        <v>263.13750000000005</v>
      </c>
    </row>
    <row r="842" spans="1:9" hidden="1" outlineLevel="2">
      <c r="A842" s="23"/>
      <c r="B842" s="7"/>
      <c r="C842" s="7"/>
      <c r="D842" s="7"/>
      <c r="E842" s="5" t="str">
        <f>VLOOKUP($D841,PRECIOS_REFERENCIAS!A$3:D$98,3,FALSE)</f>
        <v>SIMATIC S7 Memory Card, 24 MB //6ES7954-8LF03-0AA0</v>
      </c>
      <c r="F842" s="7"/>
      <c r="G842" s="7"/>
      <c r="I842" s="6"/>
    </row>
    <row r="843" spans="1:9" hidden="1" outlineLevel="2">
      <c r="A843" s="24" t="s">
        <v>512</v>
      </c>
      <c r="B843" s="2" t="s">
        <v>158</v>
      </c>
      <c r="C843" s="2" t="s">
        <v>16</v>
      </c>
      <c r="D843" s="2" t="s">
        <v>159</v>
      </c>
      <c r="E843" s="39" t="str">
        <f>VLOOKUP($D843,PRECIOS_REFERENCIAS!A$3:D$90,2,FALSE)</f>
        <v>TARJETA COMUNICACIONES  S7-1200</v>
      </c>
      <c r="F843" s="3">
        <v>1</v>
      </c>
      <c r="G843" s="2" t="s">
        <v>18</v>
      </c>
      <c r="H843" s="40">
        <f>VLOOKUP($D843,PRECIOS_REFERENCIAS!A$3:D$90,4,FALSE)</f>
        <v>518.66999999999996</v>
      </c>
      <c r="I843" s="6">
        <f>H843*F843</f>
        <v>518.66999999999996</v>
      </c>
    </row>
    <row r="844" spans="1:9" hidden="1" outlineLevel="2">
      <c r="A844" s="23"/>
      <c r="B844" s="2"/>
      <c r="C844" s="38"/>
      <c r="D844" s="2"/>
      <c r="E844" s="5" t="str">
        <f>VLOOKUP($D843,PRECIOS_REFERENCIAS!A$3:D$90,3,FALSE)</f>
        <v>SIMATIC S7-1200  Modulo Ethernet CP 1243-1  //6GK7243-1BX30-0XE0</v>
      </c>
      <c r="F844" s="3"/>
      <c r="G844" s="2"/>
      <c r="H844" s="40"/>
      <c r="I844" s="6"/>
    </row>
    <row r="845" spans="1:9" hidden="1" outlineLevel="2">
      <c r="A845" s="24" t="s">
        <v>513</v>
      </c>
      <c r="B845" s="2" t="s">
        <v>20</v>
      </c>
      <c r="C845" s="2" t="s">
        <v>21</v>
      </c>
      <c r="D845" s="2" t="s">
        <v>161</v>
      </c>
      <c r="E845" s="39" t="str">
        <f>VLOOKUP($D845,PRECIOS_REFERENCIAS!A$3:D$90,2,FALSE)</f>
        <v>INSTALACION COM ADICIONAL</v>
      </c>
      <c r="F845" s="3">
        <v>1</v>
      </c>
      <c r="G845" s="2" t="s">
        <v>18</v>
      </c>
      <c r="H845" s="40">
        <f>VLOOKUP($D845,PRECIOS_REFERENCIAS!A$3:D$90,4,FALSE)</f>
        <v>40</v>
      </c>
      <c r="I845" s="6">
        <f>H845*F845</f>
        <v>40</v>
      </c>
    </row>
    <row r="846" spans="1:9" hidden="1" outlineLevel="2">
      <c r="A846" s="23"/>
      <c r="B846" s="7"/>
      <c r="C846" s="7"/>
      <c r="D846" s="7"/>
      <c r="E846" s="5" t="str">
        <f>VLOOKUP($D845,PRECIOS_REFERENCIAS!A$3:D$90,3,FALSE)</f>
        <v xml:space="preserve">INSTALACION TARJETA COMUNICACIONES ADICIONAL </v>
      </c>
      <c r="F846" s="7"/>
      <c r="G846" s="7"/>
      <c r="I846" s="6"/>
    </row>
    <row r="847" spans="1:9" hidden="1" outlineLevel="2">
      <c r="A847" s="24" t="s">
        <v>514</v>
      </c>
      <c r="B847" s="2" t="s">
        <v>196</v>
      </c>
      <c r="C847" s="2" t="s">
        <v>16</v>
      </c>
      <c r="D847" s="2" t="s">
        <v>197</v>
      </c>
      <c r="E847" s="39" t="str">
        <f>VLOOKUP($D847,PRECIOS_REFERENCIAS!A$3:D$48,2,FALSE)</f>
        <v>TARJETA COMUNICACIÓN RS485 S7-1200</v>
      </c>
      <c r="F847" s="3">
        <v>1</v>
      </c>
      <c r="G847" s="2" t="s">
        <v>18</v>
      </c>
      <c r="H847" s="40">
        <f>VLOOKUP($D847,PRECIOS_REFERENCIAS!A$3:D$48,4,FALSE)</f>
        <v>130.19999999999999</v>
      </c>
      <c r="I847" s="6">
        <f>H847*F847</f>
        <v>130.19999999999999</v>
      </c>
    </row>
    <row r="848" spans="1:9" hidden="1" outlineLevel="2">
      <c r="A848" s="23"/>
      <c r="B848" s="7"/>
      <c r="C848" s="38"/>
      <c r="D848" s="7"/>
      <c r="E848" s="5" t="str">
        <f>VLOOKUP($D847,PRECIOS_REFERENCIAS!A$3:D$48,3,FALSE)</f>
        <v>Modul de comunic. CM 1241, RS422/485  //6ES7241-1CH32-0XB0</v>
      </c>
      <c r="F848" s="7"/>
      <c r="G848" s="7"/>
      <c r="I848" s="6"/>
    </row>
    <row r="849" spans="1:9" hidden="1" outlineLevel="2">
      <c r="A849" s="24" t="s">
        <v>515</v>
      </c>
      <c r="B849" s="2" t="s">
        <v>20</v>
      </c>
      <c r="C849" s="2" t="s">
        <v>21</v>
      </c>
      <c r="D849" s="2" t="s">
        <v>199</v>
      </c>
      <c r="E849" s="39" t="str">
        <f>VLOOKUP($D849,PRECIOS_REFERENCIAS!A$3:D$90,2,FALSE)</f>
        <v>INSTALACION CABLEADO MODBUS CAUDALIMETRO</v>
      </c>
      <c r="F849" s="3">
        <v>2</v>
      </c>
      <c r="G849" s="2" t="s">
        <v>18</v>
      </c>
      <c r="H849" s="40">
        <f>VLOOKUP($D849,PRECIOS_REFERENCIAS!A$3:D$90,4,FALSE)</f>
        <v>40</v>
      </c>
      <c r="I849" s="6">
        <f>H849*F849</f>
        <v>80</v>
      </c>
    </row>
    <row r="850" spans="1:9" hidden="1" outlineLevel="2">
      <c r="A850" s="23"/>
      <c r="B850" s="2"/>
      <c r="C850" s="2"/>
      <c r="D850" s="2"/>
      <c r="E850" s="5" t="str">
        <f>VLOOKUP($D849,PRECIOS_REFERENCIAS!A$3:D$90,3,FALSE)</f>
        <v>INSTALACIÓN DEL CABLEADO MODUS PARA CADA CAUDALIMETRO CON COMUNICACIÓN MODBUS</v>
      </c>
      <c r="F850" s="3"/>
      <c r="G850" s="2"/>
      <c r="H850" s="40"/>
      <c r="I850" s="6"/>
    </row>
    <row r="851" spans="1:9" hidden="1" outlineLevel="2">
      <c r="A851" s="24" t="s">
        <v>516</v>
      </c>
      <c r="B851" s="2" t="s">
        <v>201</v>
      </c>
      <c r="C851" s="2" t="s">
        <v>16</v>
      </c>
      <c r="D851" s="2" t="s">
        <v>202</v>
      </c>
      <c r="E851" s="39" t="str">
        <f>VLOOKUP($D851,PRECIOS_REFERENCIAS!A$3:D$48,2,FALSE)</f>
        <v>TARJETA COMUNICACIÓN MODBUS CAUDALIMETRO</v>
      </c>
      <c r="F851" s="3">
        <f>F849</f>
        <v>2</v>
      </c>
      <c r="G851" s="2" t="s">
        <v>18</v>
      </c>
      <c r="H851" s="40">
        <f>VLOOKUP($D851,PRECIOS_REFERENCIAS!A$3:D$48,4,FALSE)</f>
        <v>183.48750000000001</v>
      </c>
      <c r="I851" s="6">
        <f>H851*F851</f>
        <v>366.97500000000002</v>
      </c>
    </row>
    <row r="852" spans="1:9" hidden="1" outlineLevel="2">
      <c r="A852" s="23"/>
      <c r="B852" s="7"/>
      <c r="C852" s="38"/>
      <c r="D852" s="7"/>
      <c r="E852" s="5" t="str">
        <f>VLOOKUP($D851,PRECIOS_REFERENCIAS!A$3:D$48,3,FALSE)</f>
        <v>TARJETA MODBUS RTU/RS485 para caudalímetro MAG 6000 // FDK:085U0234</v>
      </c>
      <c r="F852" s="7"/>
      <c r="G852" s="7"/>
      <c r="I852" s="6"/>
    </row>
    <row r="853" spans="1:9" hidden="1" outlineLevel="2">
      <c r="A853" s="24" t="s">
        <v>517</v>
      </c>
      <c r="B853" s="2" t="s">
        <v>20</v>
      </c>
      <c r="C853" s="2" t="s">
        <v>21</v>
      </c>
      <c r="D853" s="2" t="s">
        <v>204</v>
      </c>
      <c r="E853" s="39" t="str">
        <f>VLOOKUP($D853,PRECIOS_REFERENCIAS!A$3:D$90,2,FALSE)</f>
        <v>INSTALACION TARJETA MODBUS CAUDALIMETRO</v>
      </c>
      <c r="F853" s="3">
        <f>F851</f>
        <v>2</v>
      </c>
      <c r="G853" s="2" t="s">
        <v>18</v>
      </c>
      <c r="H853" s="40">
        <f>VLOOKUP($D853,PRECIOS_REFERENCIAS!A$3:D$90,4,FALSE)</f>
        <v>40</v>
      </c>
      <c r="I853" s="6">
        <f>H853*F853</f>
        <v>80</v>
      </c>
    </row>
    <row r="854" spans="1:9" hidden="1" outlineLevel="2">
      <c r="A854" s="23"/>
      <c r="B854" s="2"/>
      <c r="C854" s="2"/>
      <c r="D854" s="2"/>
      <c r="E854" s="5" t="str">
        <f>VLOOKUP($D853,PRECIOS_REFERENCIAS!A$3:D$90,3,FALSE)</f>
        <v>INSTALACIÓN DE LA TARJETA DE MODBUS EN EL CAUDALIMETRO</v>
      </c>
      <c r="F854" s="3"/>
      <c r="G854" s="2"/>
      <c r="H854" s="40"/>
      <c r="I854" s="6"/>
    </row>
    <row r="855" spans="1:9" hidden="1" outlineLevel="2">
      <c r="A855" s="24" t="s">
        <v>518</v>
      </c>
      <c r="B855" s="2" t="s">
        <v>20</v>
      </c>
      <c r="C855" s="2" t="s">
        <v>21</v>
      </c>
      <c r="D855" s="2" t="s">
        <v>35</v>
      </c>
      <c r="E855" s="39" t="str">
        <f>VLOOKUP($D855,PRECIOS_REFERENCIAS!A$3:D$90,2,FALSE)</f>
        <v>INSTALACION ED</v>
      </c>
      <c r="F855" s="3">
        <v>1</v>
      </c>
      <c r="G855" s="2" t="s">
        <v>18</v>
      </c>
      <c r="H855" s="40">
        <f>VLOOKUP($D855,PRECIOS_REFERENCIAS!A$3:D$90,4,FALSE)</f>
        <v>161.97310014887609</v>
      </c>
      <c r="I855" s="6">
        <f>H855*F855</f>
        <v>161.97310014887609</v>
      </c>
    </row>
    <row r="856" spans="1:9" hidden="1" outlineLevel="2">
      <c r="A856" s="23"/>
      <c r="B856" s="2"/>
      <c r="C856" s="2"/>
      <c r="D856" s="2"/>
      <c r="E856" s="5" t="str">
        <f>VLOOKUP($D855,PRECIOS_REFERENCIAS!A$3:D$90,3,FALSE)</f>
        <v>SUSTITUCIÓN DE MÓDULO DE E/S DIGITALES DE PLC EXISTENTE POR NUEVO MÓDULO DE PLC DEFINIDO. ENTRADA DIGITAL 16</v>
      </c>
      <c r="F856" s="3"/>
      <c r="G856" s="2"/>
      <c r="H856" s="40"/>
      <c r="I856" s="6"/>
    </row>
    <row r="857" spans="1:9" hidden="1" outlineLevel="2">
      <c r="A857" s="24" t="s">
        <v>519</v>
      </c>
      <c r="B857" s="2" t="s">
        <v>114</v>
      </c>
      <c r="C857" s="2" t="s">
        <v>16</v>
      </c>
      <c r="D857" s="2" t="s">
        <v>114</v>
      </c>
      <c r="E857" s="39" t="str">
        <f>VLOOKUP($D857,PRECIOS_REFERENCIAS!A$3:D$48,2,FALSE)</f>
        <v>SUMINISTRO MÓDULO DE 8 ENTRADAS ANALÓGICAS</v>
      </c>
      <c r="F857" s="3">
        <v>1</v>
      </c>
      <c r="G857" s="2" t="s">
        <v>18</v>
      </c>
      <c r="H857" s="40">
        <f>VLOOKUP($D857,PRECIOS_REFERENCIAS!A$3:D$48,4,FALSE)</f>
        <v>372.39749999999998</v>
      </c>
      <c r="I857" s="6">
        <f>H857*F857</f>
        <v>372.39749999999998</v>
      </c>
    </row>
    <row r="858" spans="1:9" hidden="1" outlineLevel="2">
      <c r="A858" s="23"/>
      <c r="B858" s="7"/>
      <c r="C858" s="7"/>
      <c r="D858" s="7"/>
      <c r="E858" s="5" t="str">
        <f>VLOOKUP($D857,PRECIOS_REFERENCIAS!A$3:D$48,3,FALSE)</f>
        <v xml:space="preserve">SIMATIC S7-1200,  Módulo de Entradas analógicas, SM 1231, 8 EA //6ES7231-4HF32-0XB0 </v>
      </c>
      <c r="F858" s="7"/>
      <c r="G858" s="7"/>
      <c r="I858" s="6"/>
    </row>
    <row r="859" spans="1:9" hidden="1" outlineLevel="2">
      <c r="A859" s="24" t="s">
        <v>520</v>
      </c>
      <c r="B859" s="2" t="s">
        <v>20</v>
      </c>
      <c r="C859" s="2" t="s">
        <v>21</v>
      </c>
      <c r="D859" s="2" t="s">
        <v>46</v>
      </c>
      <c r="E859" s="39" t="str">
        <f>VLOOKUP($D859,PRECIOS_REFERENCIAS!A$3:D$90,2,FALSE)</f>
        <v>INSTALACION EA</v>
      </c>
      <c r="F859" s="3">
        <v>2</v>
      </c>
      <c r="G859" s="2" t="s">
        <v>18</v>
      </c>
      <c r="H859" s="40">
        <f>VLOOKUP($D859,PRECIOS_REFERENCIAS!A$3:D$90,4,FALSE)</f>
        <v>237.18351660213608</v>
      </c>
      <c r="I859" s="6">
        <f>H859*F859</f>
        <v>474.36703320427216</v>
      </c>
    </row>
    <row r="860" spans="1:9" hidden="1" outlineLevel="2">
      <c r="A860" s="23"/>
      <c r="B860" s="2"/>
      <c r="C860" s="2"/>
      <c r="D860" s="2"/>
      <c r="E860" s="5" t="str">
        <f>VLOOKUP($D859,PRECIOS_REFERENCIAS!A$3:D$90,3,FALSE)</f>
        <v>SUSTITUCIÓN DE MÓDULO DE E/S ANALÓGICAS DE PLC EXISTENTE POR NUEVO MÓDULO DE PLC DEFINIDO. ENTRADA ANALÓGICAS 8</v>
      </c>
      <c r="F860" s="3"/>
      <c r="G860" s="2"/>
      <c r="H860" s="40"/>
      <c r="I860" s="6"/>
    </row>
    <row r="861" spans="1:9" hidden="1" outlineLevel="2">
      <c r="A861" s="24" t="s">
        <v>521</v>
      </c>
      <c r="B861" s="2" t="s">
        <v>20</v>
      </c>
      <c r="C861" s="2" t="s">
        <v>21</v>
      </c>
      <c r="D861" s="2" t="s">
        <v>208</v>
      </c>
      <c r="E861" s="39" t="str">
        <f>VLOOKUP($D861,PRECIOS_REFERENCIAS!A$3:D$90,2,FALSE)</f>
        <v>RETIRADA CABLE CAUDAL SEÑAL ANALOGICA</v>
      </c>
      <c r="F861" s="3">
        <v>2</v>
      </c>
      <c r="G861" s="2" t="s">
        <v>18</v>
      </c>
      <c r="H861" s="40">
        <f>VLOOKUP($D861,PRECIOS_REFERENCIAS!A$3:D$90,4,FALSE)</f>
        <v>30</v>
      </c>
      <c r="I861" s="6">
        <f>H861*F861</f>
        <v>60</v>
      </c>
    </row>
    <row r="862" spans="1:9" hidden="1" outlineLevel="2">
      <c r="A862" s="23"/>
      <c r="B862" s="2"/>
      <c r="C862" s="2"/>
      <c r="D862" s="2"/>
      <c r="E862" s="5" t="str">
        <f>VLOOKUP($D861,PRECIOS_REFERENCIAS!A$3:D$90,3,FALSE)</f>
        <v>RETIRADA DEL CABLE ANALOGICO DEL CAUDALIMETRO POR LA COMUNICACIÓN ACTUAL MODBUS</v>
      </c>
      <c r="F862" s="3"/>
      <c r="G862" s="2"/>
      <c r="H862" s="40"/>
      <c r="I862" s="6"/>
    </row>
    <row r="863" spans="1:9" hidden="1" outlineLevel="2">
      <c r="A863" s="24" t="s">
        <v>522</v>
      </c>
      <c r="B863" s="2" t="s">
        <v>210</v>
      </c>
      <c r="C863" s="2" t="s">
        <v>16</v>
      </c>
      <c r="D863" s="2" t="s">
        <v>210</v>
      </c>
      <c r="E863" s="39" t="str">
        <f>VLOOKUP($D863,PRECIOS_REFERENCIAS!A$3:D$48,2,FALSE)</f>
        <v>HMI LOCAL 4" ETHERNET Y COLOR</v>
      </c>
      <c r="F863" s="3">
        <v>1</v>
      </c>
      <c r="G863" s="2" t="s">
        <v>18</v>
      </c>
      <c r="H863" s="40">
        <f>VLOOKUP($D863,PRECIOS_REFERENCIAS!A$3:D$48,4,FALSE)</f>
        <v>297.52999999999997</v>
      </c>
      <c r="I863" s="6">
        <f>H863*F863</f>
        <v>297.52999999999997</v>
      </c>
    </row>
    <row r="864" spans="1:9" hidden="1" outlineLevel="2">
      <c r="A864" s="23"/>
      <c r="B864" s="2"/>
      <c r="C864" s="2"/>
      <c r="D864" s="2"/>
      <c r="E864" s="5" t="str">
        <f>VLOOKUP($D863,PRECIOS_REFERENCIAS!A$3:D$48,3,FALSE)</f>
        <v>SIMATIC HMI, KTP400 Basic, Basic Panel, Manejo con teclado/táctil, pantalla TFT de 4", 65536 colores // 6AV2123-2GB03-0AX0</v>
      </c>
      <c r="F864" s="7"/>
      <c r="G864" s="7"/>
      <c r="I864" s="6"/>
    </row>
    <row r="865" spans="1:9" hidden="1" outlineLevel="2">
      <c r="A865" s="24" t="s">
        <v>523</v>
      </c>
      <c r="B865" s="2" t="s">
        <v>20</v>
      </c>
      <c r="C865" s="2" t="s">
        <v>21</v>
      </c>
      <c r="D865" s="2" t="s">
        <v>56</v>
      </c>
      <c r="E865" s="39" t="str">
        <f>VLOOKUP($D865,PRECIOS_REFERENCIAS!A$3:D$90,2,FALSE)</f>
        <v>INSTALACION HMI</v>
      </c>
      <c r="F865" s="3">
        <f>F863</f>
        <v>1</v>
      </c>
      <c r="G865" s="2" t="s">
        <v>18</v>
      </c>
      <c r="H865" s="40">
        <f>VLOOKUP($D865,PRECIOS_REFERENCIAS!A$3:D$90,4,FALSE)</f>
        <v>125</v>
      </c>
      <c r="I865" s="6">
        <f>H865*F865</f>
        <v>125</v>
      </c>
    </row>
    <row r="866" spans="1:9" hidden="1" outlineLevel="2">
      <c r="A866" s="23"/>
      <c r="B866" s="2"/>
      <c r="C866" s="2"/>
      <c r="D866" s="2"/>
      <c r="E866" s="5" t="str">
        <f>VLOOKUP($D865,PRECIOS_REFERENCIAS!A$3:D$90,3,FALSE)</f>
        <v>INSTALACIÓN DE PANTALLA HMI</v>
      </c>
      <c r="F866" s="3"/>
      <c r="G866" s="2"/>
      <c r="H866" s="40"/>
      <c r="I866" s="6"/>
    </row>
    <row r="867" spans="1:9" hidden="1" outlineLevel="2">
      <c r="A867" s="24" t="s">
        <v>524</v>
      </c>
      <c r="B867" s="2" t="s">
        <v>67</v>
      </c>
      <c r="C867" s="2" t="s">
        <v>16</v>
      </c>
      <c r="D867" s="2" t="s">
        <v>67</v>
      </c>
      <c r="E867" s="39" t="str">
        <f>VLOOKUP($D867,PRECIOS_REFERENCIAS!A$3:D$48,2,FALSE)</f>
        <v>ROUTER VPN 4G</v>
      </c>
      <c r="F867" s="3">
        <v>1</v>
      </c>
      <c r="G867" s="2" t="s">
        <v>18</v>
      </c>
      <c r="H867" s="40">
        <f>VLOOKUP($D867,PRECIOS_REFERENCIAS!A$3:D$48,4,FALSE)</f>
        <v>560.25</v>
      </c>
      <c r="I867" s="6">
        <f>H867*F867</f>
        <v>560.25</v>
      </c>
    </row>
    <row r="868" spans="1:9" hidden="1" outlineLevel="2">
      <c r="A868" s="23"/>
      <c r="B868" s="2"/>
      <c r="C868" s="2"/>
      <c r="D868" s="2"/>
      <c r="E868" s="5" t="str">
        <f>VLOOKUP($D867,PRECIOS_REFERENCIAS!A$3:D$48,3,FALSE)</f>
        <v>ROUTER IPL-C-100-LW O SIMILAR</v>
      </c>
      <c r="F868" s="7"/>
      <c r="G868" s="7"/>
      <c r="I868" s="6"/>
    </row>
    <row r="869" spans="1:9" hidden="1" outlineLevel="2">
      <c r="A869" s="24" t="s">
        <v>525</v>
      </c>
      <c r="B869" s="2" t="s">
        <v>20</v>
      </c>
      <c r="C869" s="2" t="s">
        <v>21</v>
      </c>
      <c r="D869" s="2" t="s">
        <v>69</v>
      </c>
      <c r="E869" s="39" t="str">
        <f>VLOOKUP($D869,PRECIOS_REFERENCIAS!A$3:D$90,2,FALSE)</f>
        <v>INSTALACION ROUTER 4G</v>
      </c>
      <c r="F869" s="3">
        <f>F867</f>
        <v>1</v>
      </c>
      <c r="G869" s="2" t="s">
        <v>18</v>
      </c>
      <c r="H869" s="40">
        <f>VLOOKUP($D869,PRECIOS_REFERENCIAS!A$3:D$90,4,FALSE)</f>
        <v>40</v>
      </c>
      <c r="I869" s="6">
        <f>H869*F869</f>
        <v>40</v>
      </c>
    </row>
    <row r="870" spans="1:9" hidden="1" outlineLevel="2">
      <c r="A870" s="23"/>
      <c r="B870" s="2"/>
      <c r="C870" s="2"/>
      <c r="D870" s="2"/>
      <c r="E870" s="5" t="str">
        <f>VLOOKUP($D869,PRECIOS_REFERENCIAS!A$3:D$90,3,FALSE)</f>
        <v>INSTALACIÓN DE ROUTER 4G</v>
      </c>
      <c r="F870" s="3"/>
      <c r="G870" s="2"/>
      <c r="H870" s="40"/>
      <c r="I870" s="6"/>
    </row>
    <row r="871" spans="1:9" hidden="1" outlineLevel="2">
      <c r="A871" s="24" t="s">
        <v>526</v>
      </c>
      <c r="B871" s="2" t="s">
        <v>71</v>
      </c>
      <c r="C871" s="2" t="s">
        <v>16</v>
      </c>
      <c r="D871" s="2" t="s">
        <v>71</v>
      </c>
      <c r="E871" s="39" t="str">
        <f>VLOOKUP($D871,PRECIOS_REFERENCIAS!A$3:D$48,2,FALSE)</f>
        <v>ANTENA 4G CON CABLE DE 5 METROS Y KIT MONTAJE ANTENA</v>
      </c>
      <c r="F871" s="3">
        <v>1</v>
      </c>
      <c r="G871" s="2" t="s">
        <v>18</v>
      </c>
      <c r="H871" s="40">
        <v>152.67857142857142</v>
      </c>
      <c r="I871" s="6">
        <f>H871*F871</f>
        <v>152.67857142857142</v>
      </c>
    </row>
    <row r="872" spans="1:9" hidden="1" outlineLevel="2">
      <c r="A872" s="23"/>
      <c r="E872" s="5" t="str">
        <f>VLOOKUP($D871,PRECIOS_REFERENCIAS!A$3:D$48,3,FALSE)</f>
        <v>ANTENA 310 + KIT MONTAJE ANTENA 310</v>
      </c>
      <c r="I872" s="6"/>
    </row>
    <row r="873" spans="1:9" hidden="1" outlineLevel="2">
      <c r="A873" s="24" t="s">
        <v>527</v>
      </c>
      <c r="B873" s="2" t="s">
        <v>20</v>
      </c>
      <c r="C873" s="2" t="s">
        <v>21</v>
      </c>
      <c r="D873" s="2" t="s">
        <v>73</v>
      </c>
      <c r="E873" s="39" t="str">
        <f>VLOOKUP($D873,PRECIOS_REFERENCIAS!A$3:D$90,2,FALSE)</f>
        <v>INSTALACION ANTENA EXTERIOR</v>
      </c>
      <c r="F873" s="3">
        <f>F871</f>
        <v>1</v>
      </c>
      <c r="G873" s="2" t="s">
        <v>18</v>
      </c>
      <c r="H873" s="40">
        <f>VLOOKUP($D873,PRECIOS_REFERENCIAS!A$3:D$90,4,FALSE)</f>
        <v>149.03086772191051</v>
      </c>
      <c r="I873" s="6">
        <f>H873*F873</f>
        <v>149.03086772191051</v>
      </c>
    </row>
    <row r="874" spans="1:9" hidden="1" outlineLevel="2">
      <c r="A874" s="23"/>
      <c r="B874" s="2"/>
      <c r="C874" s="2"/>
      <c r="D874" s="2"/>
      <c r="E874" s="5" t="str">
        <f>VLOOKUP($D873,PRECIOS_REFERENCIAS!A$3:D$90,3,FALSE)</f>
        <v>INSTALACIÓN DE ANTENA EXTERIOR + KIT</v>
      </c>
      <c r="F874" s="3"/>
      <c r="G874" s="2"/>
      <c r="H874" s="40"/>
      <c r="I874" s="6"/>
    </row>
    <row r="875" spans="1:9" hidden="1" outlineLevel="2">
      <c r="A875" s="24" t="s">
        <v>528</v>
      </c>
      <c r="B875" s="2" t="s">
        <v>75</v>
      </c>
      <c r="C875" s="2" t="s">
        <v>16</v>
      </c>
      <c r="D875" s="2" t="s">
        <v>75</v>
      </c>
      <c r="E875" s="39" t="str">
        <f>VLOOKUP($D875,PRECIOS_REFERENCIAS!A$3:D$90,2,FALSE)</f>
        <v>SUMINISTRO SWITCH 5P</v>
      </c>
      <c r="F875" s="3">
        <v>1</v>
      </c>
      <c r="G875" s="2" t="s">
        <v>18</v>
      </c>
      <c r="H875" s="40">
        <f>VLOOKUP($D875,PRECIOS_REFERENCIAS!A$3:D$90,4,FALSE)</f>
        <v>97.65</v>
      </c>
      <c r="I875" s="6">
        <f>H875*F875</f>
        <v>97.65</v>
      </c>
    </row>
    <row r="876" spans="1:9" hidden="1" outlineLevel="2">
      <c r="A876" s="23"/>
      <c r="B876" s="2"/>
      <c r="C876" s="38"/>
      <c r="D876" s="2"/>
      <c r="E876" s="5" t="str">
        <f>VLOOKUP($D875,PRECIOS_REFERENCIAS!A$3:D$90,3,FALSE)</f>
        <v>SwitchNOGest_5x100TXRJ45 / MCSESU053FN0</v>
      </c>
      <c r="F876" s="7"/>
      <c r="G876" s="7"/>
      <c r="H876" s="40"/>
      <c r="I876" s="6"/>
    </row>
    <row r="877" spans="1:9" hidden="1" outlineLevel="2">
      <c r="A877" s="24" t="s">
        <v>529</v>
      </c>
      <c r="B877" s="2" t="s">
        <v>20</v>
      </c>
      <c r="C877" s="2" t="s">
        <v>21</v>
      </c>
      <c r="D877" s="2" t="s">
        <v>77</v>
      </c>
      <c r="E877" s="39" t="str">
        <f>VLOOKUP($D877,PRECIOS_REFERENCIAS!A$3:D$90,2,FALSE)</f>
        <v>INSTALACION SWITCH</v>
      </c>
      <c r="F877" s="3">
        <f>F875</f>
        <v>1</v>
      </c>
      <c r="G877" s="2" t="s">
        <v>18</v>
      </c>
      <c r="H877" s="40">
        <f>VLOOKUP($D877,PRECIOS_REFERENCIAS!A$3:D$90,4,FALSE)</f>
        <v>40</v>
      </c>
      <c r="I877" s="6">
        <f>H877*F877</f>
        <v>40</v>
      </c>
    </row>
    <row r="878" spans="1:9" hidden="1" outlineLevel="2">
      <c r="A878" s="23"/>
      <c r="B878" s="2"/>
      <c r="C878" s="2"/>
      <c r="D878" s="2"/>
      <c r="E878" s="5" t="str">
        <f>VLOOKUP($D877,PRECIOS_REFERENCIAS!A$3:D$90,3,FALSE)</f>
        <v>INSTALACIÓN DE SWITCH</v>
      </c>
      <c r="F878" s="3"/>
      <c r="G878" s="2"/>
      <c r="I878" s="6"/>
    </row>
    <row r="879" spans="1:9" hidden="1" outlineLevel="2">
      <c r="A879" s="24" t="s">
        <v>530</v>
      </c>
      <c r="B879" s="2" t="s">
        <v>494</v>
      </c>
      <c r="C879" s="2" t="s">
        <v>16</v>
      </c>
      <c r="D879" s="2" t="s">
        <v>495</v>
      </c>
      <c r="E879" s="39" t="str">
        <f>VLOOKUP($D879,PRECIOS_REFERENCIAS!A$3:D$48,2,FALSE)</f>
        <v>SUMINISTRO CONVERSOR ETHERNET Y FIBRA OPTICA MULTIMODO 1P</v>
      </c>
      <c r="F879" s="3">
        <v>1</v>
      </c>
      <c r="G879" s="2" t="s">
        <v>18</v>
      </c>
      <c r="H879" s="40">
        <f>VLOOKUP($D879,PRECIOS_REFERENCIAS!A$3:D$48,4,FALSE)</f>
        <v>134.66</v>
      </c>
      <c r="I879" s="6">
        <f>H879*F879</f>
        <v>134.66</v>
      </c>
    </row>
    <row r="880" spans="1:9" hidden="1" outlineLevel="2">
      <c r="A880" s="23"/>
      <c r="B880" s="2"/>
      <c r="C880" s="38"/>
      <c r="D880" s="2"/>
      <c r="E880" s="5" t="str">
        <f>VLOOKUP($D879,PRECIOS_REFERENCIAS!A$3:D$48,3,FALSE)</f>
        <v xml:space="preserve">Transceiver 1 x 10/100Base-TX, 1 x 100Base-FX, MM-SC // SPIDER-SL-20-01T1M29999SY9HHHH </v>
      </c>
      <c r="F880" s="7"/>
      <c r="G880" s="7"/>
      <c r="I880" s="6"/>
    </row>
    <row r="881" spans="1:9" hidden="1" outlineLevel="2">
      <c r="A881" s="24" t="s">
        <v>531</v>
      </c>
      <c r="B881" s="2" t="s">
        <v>20</v>
      </c>
      <c r="C881" s="2" t="s">
        <v>21</v>
      </c>
      <c r="D881" s="2" t="s">
        <v>497</v>
      </c>
      <c r="E881" s="39" t="str">
        <f>VLOOKUP($D881,PRECIOS_REFERENCIAS!A$3:D$90,2,FALSE)</f>
        <v>INSTALACION TRANSCEIVER</v>
      </c>
      <c r="F881" s="3">
        <f>F879</f>
        <v>1</v>
      </c>
      <c r="G881" s="2" t="s">
        <v>18</v>
      </c>
      <c r="H881" s="40">
        <f>VLOOKUP($D881,PRECIOS_REFERENCIAS!A$3:D$90,4,FALSE)</f>
        <v>97.52318734391956</v>
      </c>
      <c r="I881" s="6">
        <f>H881*F881</f>
        <v>97.52318734391956</v>
      </c>
    </row>
    <row r="882" spans="1:9" hidden="1" outlineLevel="2">
      <c r="A882" s="23"/>
      <c r="B882" s="2"/>
      <c r="C882" s="2"/>
      <c r="D882" s="2"/>
      <c r="E882" s="5" t="str">
        <f>VLOOKUP($D881,PRECIOS_REFERENCIAS!A$3:D$90,3,FALSE)</f>
        <v>INSTALACIÓN DE TRANSCEIVER ETHERNET - FIBRA OPTICA</v>
      </c>
      <c r="F882" s="3"/>
      <c r="G882" s="2"/>
      <c r="H882" s="40"/>
      <c r="I882" s="6"/>
    </row>
    <row r="883" spans="1:9" hidden="1" outlineLevel="2">
      <c r="A883" s="24" t="s">
        <v>532</v>
      </c>
      <c r="B883" s="2" t="s">
        <v>79</v>
      </c>
      <c r="C883" s="2" t="s">
        <v>80</v>
      </c>
      <c r="D883" s="2" t="s">
        <v>81</v>
      </c>
      <c r="E883" s="39" t="str">
        <f>VLOOKUP($D883,PRECIOS_REFERENCIAS!A$3:D$90,2,FALSE)</f>
        <v>PLANIFICACION</v>
      </c>
      <c r="F883" s="3">
        <v>1</v>
      </c>
      <c r="G883" s="2" t="s">
        <v>18</v>
      </c>
      <c r="H883" s="40">
        <f>VLOOKUP($D883,PRECIOS_REFERENCIAS!A$3:D$90,4,FALSE)</f>
        <v>40</v>
      </c>
      <c r="I883" s="6">
        <f>H883*F883</f>
        <v>40</v>
      </c>
    </row>
    <row r="884" spans="1:9" hidden="1" outlineLevel="2">
      <c r="A884" s="23"/>
      <c r="B884" s="2"/>
      <c r="C884" s="2"/>
      <c r="D884" s="2"/>
      <c r="E884" s="5" t="str">
        <f>VLOOKUP($D883,PRECIOS_REFERENCIAS!A$3:D$90,3,FALSE)</f>
        <v>PLANIFICACIÓN DE LOS TRABAJOS Y DESCARGA EN LOCAL DEL PROGRAMA DEL PLC</v>
      </c>
      <c r="F884" s="3"/>
      <c r="G884" s="2"/>
      <c r="H884" s="40"/>
      <c r="I884" s="6"/>
    </row>
    <row r="885" spans="1:9" hidden="1" outlineLevel="2">
      <c r="A885" s="24" t="s">
        <v>533</v>
      </c>
      <c r="B885" s="2" t="s">
        <v>83</v>
      </c>
      <c r="C885" s="2" t="s">
        <v>80</v>
      </c>
      <c r="D885" s="2" t="s">
        <v>80</v>
      </c>
      <c r="E885" s="39" t="str">
        <f>VLOOKUP($D885,PRECIOS_REFERENCIAS!A$3:D$90,2,FALSE)</f>
        <v>INGENIERIA + ESQUEMAS</v>
      </c>
      <c r="F885" s="3">
        <v>1</v>
      </c>
      <c r="G885" s="2" t="s">
        <v>18</v>
      </c>
      <c r="H885" s="40">
        <f>VLOOKUP($D885,PRECIOS_REFERENCIAS!A$3:D$90,4,FALSE)</f>
        <v>300</v>
      </c>
      <c r="I885" s="6">
        <f>H885*F885</f>
        <v>300</v>
      </c>
    </row>
    <row r="886" spans="1:9" ht="22.5" hidden="1" outlineLevel="2">
      <c r="A886" s="23"/>
      <c r="B886" s="2"/>
      <c r="C886" s="2"/>
      <c r="D886" s="2"/>
      <c r="E886" s="5" t="str">
        <f>VLOOKUP($D885,PRECIOS_REFERENCIAS!A$3:D$90,3,FALSE)</f>
        <v>INGENIERÍA DE ACTUALIZACIÓN DE ESQUEMAS ELÉCTRICOS. INCLUYE LA REVISIÓN LOCAL DE LOS CUADROS Y ELEMENTOS DE CONTROL, ASÍ COMO LA COMPROBACIÓN DE LAS SEÑALES DE CONTROL.</v>
      </c>
      <c r="F886" s="3"/>
      <c r="G886" s="2"/>
      <c r="H886" s="40"/>
      <c r="I886" s="6"/>
    </row>
    <row r="887" spans="1:9" hidden="1" outlineLevel="2">
      <c r="A887" s="24" t="s">
        <v>534</v>
      </c>
      <c r="B887" s="2" t="s">
        <v>88</v>
      </c>
      <c r="C887" s="2" t="s">
        <v>80</v>
      </c>
      <c r="D887" s="2" t="s">
        <v>89</v>
      </c>
      <c r="E887" s="39" t="str">
        <f>VLOOKUP($D887,PRECIOS_REFERENCIAS!A$3:D$90,2,FALSE)</f>
        <v>PROGRAMA PLC NUEVO</v>
      </c>
      <c r="F887" s="3">
        <v>1</v>
      </c>
      <c r="G887" s="2" t="s">
        <v>18</v>
      </c>
      <c r="H887" s="40">
        <f>VLOOKUP($D887,PRECIOS_REFERENCIAS!A$3:D$90,4,FALSE)</f>
        <v>407.75660964439658</v>
      </c>
      <c r="I887" s="6">
        <f>H887*F887</f>
        <v>407.75660964439658</v>
      </c>
    </row>
    <row r="888" spans="1:9" hidden="1" outlineLevel="2">
      <c r="A888" s="23"/>
      <c r="B888" s="2"/>
      <c r="C888" s="2"/>
      <c r="D888" s="2"/>
      <c r="E888" s="5" t="str">
        <f>VLOOKUP($D887,PRECIOS_REFERENCIAS!A$3:D$90,3,FALSE)</f>
        <v>MIGRACION DEL PROGRAMA ACTUAL A LA NUEVA PLATAFORMA DE PROGRAMACION</v>
      </c>
      <c r="I888" s="6"/>
    </row>
    <row r="889" spans="1:9" hidden="1" outlineLevel="2">
      <c r="A889" s="24" t="s">
        <v>535</v>
      </c>
      <c r="B889" s="2" t="s">
        <v>227</v>
      </c>
      <c r="C889" s="2" t="s">
        <v>80</v>
      </c>
      <c r="D889" s="2" t="s">
        <v>228</v>
      </c>
      <c r="E889" s="39" t="str">
        <f>VLOOKUP($D889,PRECIOS_REFERENCIAS!A$3:D$90,2,FALSE)</f>
        <v>PRGRAMA MODBUS REMOTA 1200</v>
      </c>
      <c r="F889" s="3">
        <v>1</v>
      </c>
      <c r="G889" s="2" t="s">
        <v>18</v>
      </c>
      <c r="H889" s="40">
        <f>VLOOKUP($D889,PRECIOS_REFERENCIAS!A$3:D$90,4,FALSE)</f>
        <v>50</v>
      </c>
      <c r="I889" s="6">
        <f>H889*F889</f>
        <v>50</v>
      </c>
    </row>
    <row r="890" spans="1:9" hidden="1" outlineLevel="2">
      <c r="A890" s="23"/>
      <c r="B890" s="2"/>
      <c r="C890" s="2"/>
      <c r="D890" s="2"/>
      <c r="E890" s="5" t="str">
        <f>VLOOKUP($D889,PRECIOS_REFERENCIAS!A$3:D$90,3,FALSE)</f>
        <v>PROGRAMACION COMUNICACIÓN MODBUS CON OS CAUDALIMETROS</v>
      </c>
      <c r="I890" s="6"/>
    </row>
    <row r="891" spans="1:9" hidden="1" outlineLevel="2">
      <c r="A891" s="24" t="s">
        <v>536</v>
      </c>
      <c r="B891" s="2" t="s">
        <v>94</v>
      </c>
      <c r="C891" s="2" t="s">
        <v>80</v>
      </c>
      <c r="D891" s="2" t="s">
        <v>95</v>
      </c>
      <c r="E891" s="39" t="str">
        <f>VLOOKUP($D891,PRECIOS_REFERENCIAS!A$3:D$90,2,FALSE)</f>
        <v>PEM REMOTA</v>
      </c>
      <c r="F891" s="3">
        <v>1</v>
      </c>
      <c r="G891" s="2" t="s">
        <v>18</v>
      </c>
      <c r="H891" s="40">
        <f>VLOOKUP($D891,PRECIOS_REFERENCIAS!A$3:D$90,4,FALSE)</f>
        <v>851.7</v>
      </c>
      <c r="I891" s="6">
        <f>H891*F891</f>
        <v>851.7</v>
      </c>
    </row>
    <row r="892" spans="1:9" hidden="1" outlineLevel="2">
      <c r="A892" s="23"/>
      <c r="B892" s="2"/>
      <c r="C892" s="2"/>
      <c r="D892" s="2"/>
      <c r="E892" s="5" t="str">
        <f>VLOOKUP($D891,PRECIOS_REFERENCIAS!A$3:D$90,3,FALSE)</f>
        <v>PUESTA EN MARCHA DEL PROGRAMA DE CONTROL LOCAL</v>
      </c>
      <c r="F892" s="3"/>
      <c r="G892" s="2"/>
      <c r="H892" s="40"/>
      <c r="I892" s="6"/>
    </row>
    <row r="893" spans="1:9" hidden="1" outlineLevel="2">
      <c r="A893" s="24" t="s">
        <v>537</v>
      </c>
      <c r="B893" s="2" t="s">
        <v>97</v>
      </c>
      <c r="C893" s="2" t="s">
        <v>80</v>
      </c>
      <c r="D893" s="2" t="s">
        <v>98</v>
      </c>
      <c r="E893" s="39" t="str">
        <f>VLOOKUP($D893,PRECIOS_REFERENCIAS!A$3:D$90,2,FALSE)</f>
        <v>REVISION SCADA</v>
      </c>
      <c r="F893" s="3">
        <v>1</v>
      </c>
      <c r="G893" s="2" t="s">
        <v>18</v>
      </c>
      <c r="H893" s="40">
        <f>VLOOKUP($D893,PRECIOS_REFERENCIAS!A$3:D$90,4,FALSE)</f>
        <v>60</v>
      </c>
      <c r="I893" s="6">
        <f>H893*F893</f>
        <v>60</v>
      </c>
    </row>
    <row r="894" spans="1:9" hidden="1" outlineLevel="2">
      <c r="A894" s="23"/>
      <c r="B894" s="2"/>
      <c r="C894" s="2"/>
      <c r="D894" s="2"/>
      <c r="E894" s="5" t="str">
        <f>VLOOKUP($D893,PRECIOS_REFERENCIAS!A$3:D$90,3,FALSE)</f>
        <v>REVISIÓN DEL PROGRAMA DE SUPERVISIÓN SCADA</v>
      </c>
      <c r="I894" s="6"/>
    </row>
    <row r="895" spans="1:9" hidden="1" outlineLevel="2">
      <c r="A895" s="24"/>
      <c r="B895" s="2"/>
      <c r="C895" s="2" t="s">
        <v>16</v>
      </c>
      <c r="D895" s="2"/>
      <c r="E895" s="76" t="str">
        <f>CONCATENATE(E830," - TOTAL HARDWARE")</f>
        <v>DEPOSITO ITSASO - TOTAL HARDWARE</v>
      </c>
      <c r="F895" s="74"/>
      <c r="G895" s="74"/>
      <c r="H895" s="74"/>
      <c r="I895" s="75">
        <f>I831+I835+I839+I843+I847+I857+I863+I867+I871+I875+I879+I841+I851</f>
        <v>3493.0991896359014</v>
      </c>
    </row>
    <row r="896" spans="1:9" hidden="1" outlineLevel="2">
      <c r="A896" s="23"/>
      <c r="B896" s="2"/>
      <c r="C896" s="2" t="s">
        <v>21</v>
      </c>
      <c r="D896" s="2"/>
      <c r="E896" s="76" t="str">
        <f>CONCATENATE(E830," - TOTAL INSTALACION")</f>
        <v>DEPOSITO ITSASO - TOTAL INSTALACION</v>
      </c>
      <c r="F896" s="74"/>
      <c r="G896" s="74"/>
      <c r="H896" s="74"/>
      <c r="I896" s="75">
        <f>I833+I837+I845+I855+I859+I865+I869+I873+I881+I877+I849+I861+I853</f>
        <v>1507.1972016668765</v>
      </c>
    </row>
    <row r="897" spans="1:10" hidden="1" outlineLevel="2">
      <c r="A897" s="23"/>
      <c r="B897" s="2"/>
      <c r="C897" s="2" t="s">
        <v>80</v>
      </c>
      <c r="D897" s="2"/>
      <c r="E897" s="76" t="str">
        <f>CONCATENATE(E830," - TOTAL INGENIERIA")</f>
        <v>DEPOSITO ITSASO - TOTAL INGENIERIA</v>
      </c>
      <c r="F897" s="74"/>
      <c r="G897" s="74"/>
      <c r="H897" s="74"/>
      <c r="I897" s="75">
        <f>I883+I885+I887+I891+I893+I889</f>
        <v>1709.4566096443966</v>
      </c>
      <c r="J897" s="22">
        <f>SUM(I895:I897)</f>
        <v>6709.7530009471748</v>
      </c>
    </row>
    <row r="898" spans="1:10" hidden="1" outlineLevel="2">
      <c r="E898" s="41" t="s">
        <v>538</v>
      </c>
      <c r="F898" s="41"/>
      <c r="G898" s="41"/>
      <c r="H898" s="41"/>
      <c r="I898" s="42">
        <f>SUM(I831:I894)</f>
        <v>6709.7530009471748</v>
      </c>
    </row>
    <row r="899" spans="1:10" hidden="1" outlineLevel="1">
      <c r="A899" s="44" t="s">
        <v>539</v>
      </c>
      <c r="B899" s="44"/>
      <c r="C899" s="44"/>
      <c r="D899" s="44"/>
      <c r="E899" s="43" t="s">
        <v>540</v>
      </c>
      <c r="F899" s="44"/>
      <c r="G899" s="44" t="s">
        <v>11</v>
      </c>
      <c r="H899" s="45"/>
      <c r="I899" s="64">
        <f>I955</f>
        <v>7210.3945755889426</v>
      </c>
    </row>
    <row r="900" spans="1:10" hidden="1" outlineLevel="2">
      <c r="A900" s="24" t="s">
        <v>541</v>
      </c>
      <c r="B900" s="2" t="s">
        <v>15</v>
      </c>
      <c r="C900" s="2" t="s">
        <v>16</v>
      </c>
      <c r="D900" s="2" t="s">
        <v>15</v>
      </c>
      <c r="E900" s="39" t="str">
        <f>VLOOKUP($D900,PRECIOS_REFERENCIAS!A$3:D$90,2,FALSE)</f>
        <v xml:space="preserve">CARRIL DIN </v>
      </c>
      <c r="F900" s="3">
        <v>1</v>
      </c>
      <c r="G900" s="2" t="s">
        <v>18</v>
      </c>
      <c r="H900" s="40">
        <f>VLOOKUP($D900,PRECIOS_REFERENCIAS!A$3:D$90,4,FALSE)</f>
        <v>2.6481182073295662</v>
      </c>
      <c r="I900" s="6">
        <f>H900*F900</f>
        <v>2.6481182073295662</v>
      </c>
    </row>
    <row r="901" spans="1:10" hidden="1" outlineLevel="2">
      <c r="A901" s="23"/>
      <c r="B901" s="2"/>
      <c r="C901" s="2"/>
      <c r="D901" s="2"/>
      <c r="E901" s="5" t="str">
        <f>VLOOKUP($D900,PRECIOS_REFERENCIAS!A$3:D$90,3,FALSE)</f>
        <v>CARRIL DIN PARA REMOTA S7-1200</v>
      </c>
      <c r="F901" s="3"/>
      <c r="G901" s="2"/>
      <c r="H901" s="40"/>
      <c r="I901" s="6"/>
    </row>
    <row r="902" spans="1:10" hidden="1" outlineLevel="2">
      <c r="A902" s="24" t="s">
        <v>542</v>
      </c>
      <c r="B902" s="2" t="s">
        <v>20</v>
      </c>
      <c r="C902" s="2" t="s">
        <v>21</v>
      </c>
      <c r="D902" s="2" t="s">
        <v>22</v>
      </c>
      <c r="E902" s="39" t="str">
        <f>VLOOKUP($D902,PRECIOS_REFERENCIAS!A$3:D$90,2,FALSE)</f>
        <v xml:space="preserve">INSTALACION CARRIL DIN </v>
      </c>
      <c r="F902" s="3">
        <v>1</v>
      </c>
      <c r="G902" s="2" t="s">
        <v>18</v>
      </c>
      <c r="H902" s="40">
        <f>VLOOKUP($D902,PRECIOS_REFERENCIAS!A$3:D$90,4,FALSE)</f>
        <v>35.402252939916011</v>
      </c>
      <c r="I902" s="6">
        <f>H902*F902</f>
        <v>35.402252939916011</v>
      </c>
    </row>
    <row r="903" spans="1:10" hidden="1" outlineLevel="2">
      <c r="A903" s="23"/>
      <c r="B903" s="2"/>
      <c r="C903" s="2"/>
      <c r="D903" s="2"/>
      <c r="E903" s="5" t="str">
        <f>VLOOKUP($D902,PRECIOS_REFERENCIAS!A$3:D$90,3,FALSE)</f>
        <v>SUSTITUCIÓN DE PERFIL SOPORTE DE PLC EXISTENTE POR NUEVO PERFIL DE PLC DEFINIDO, DENTRO DEL ARMARIO ELÉCTRICO ACTUAL.</v>
      </c>
      <c r="F903" s="3"/>
      <c r="G903" s="2"/>
      <c r="H903" s="40"/>
      <c r="I903" s="6"/>
    </row>
    <row r="904" spans="1:10" hidden="1" outlineLevel="2">
      <c r="A904" s="24" t="s">
        <v>543</v>
      </c>
      <c r="B904" s="2" t="s">
        <v>104</v>
      </c>
      <c r="C904" s="2" t="s">
        <v>16</v>
      </c>
      <c r="D904" s="2" t="s">
        <v>104</v>
      </c>
      <c r="E904" s="39" t="str">
        <f>VLOOKUP($D904,PRECIOS_REFERENCIAS!A$3:D$48,2,FALSE)</f>
        <v>SUMINISTRO DE CPU REMOTAS</v>
      </c>
      <c r="F904" s="3">
        <v>1</v>
      </c>
      <c r="G904" s="2" t="s">
        <v>18</v>
      </c>
      <c r="H904" s="40">
        <f>VLOOKUP($D904,PRECIOS_REFERENCIAS!A$3:D$48,4,FALSE)</f>
        <v>416.28749999999997</v>
      </c>
      <c r="I904" s="6">
        <f>H904*F904</f>
        <v>416.28749999999997</v>
      </c>
    </row>
    <row r="905" spans="1:10" hidden="1" outlineLevel="2">
      <c r="A905" s="23"/>
      <c r="B905" s="38"/>
      <c r="C905" s="38"/>
      <c r="D905" s="38"/>
      <c r="E905" s="5" t="str">
        <f>VLOOKUP($D904,PRECIOS_REFERENCIAS!A$3:D$48,3,FALSE)</f>
        <v>SIMATIC S7-1200 - CPU 1214C //6ES7214-1AG40-0XB0</v>
      </c>
      <c r="F905" s="7"/>
      <c r="G905" s="7"/>
      <c r="I905" s="6"/>
    </row>
    <row r="906" spans="1:10" hidden="1" outlineLevel="2">
      <c r="A906" s="24" t="s">
        <v>544</v>
      </c>
      <c r="B906" s="2" t="s">
        <v>20</v>
      </c>
      <c r="C906" s="2" t="s">
        <v>21</v>
      </c>
      <c r="D906" s="2" t="s">
        <v>28</v>
      </c>
      <c r="E906" s="39" t="str">
        <f>VLOOKUP($D906,PRECIOS_REFERENCIAS!A$3:D$90,2,FALSE)</f>
        <v>INSTALACION CPU</v>
      </c>
      <c r="F906" s="3">
        <v>1</v>
      </c>
      <c r="G906" s="2" t="s">
        <v>18</v>
      </c>
      <c r="H906" s="40">
        <f>VLOOKUP($D906,PRECIOS_REFERENCIAS!A$3:D$90,4,FALSE)</f>
        <v>123.90076030798227</v>
      </c>
      <c r="I906" s="6">
        <f>H906*F906</f>
        <v>123.90076030798227</v>
      </c>
    </row>
    <row r="907" spans="1:10" hidden="1" outlineLevel="2">
      <c r="A907" s="23"/>
      <c r="B907" s="2"/>
      <c r="C907" s="2"/>
      <c r="D907" s="2"/>
      <c r="E907" s="5" t="str">
        <f>VLOOKUP($D906,PRECIOS_REFERENCIAS!A$3:D$90,3,FALSE)</f>
        <v>SUSTITUCIÓN DE CPU DE PLC EXISTENTE POR NUEVA CPU DE PLC DEFINIDA</v>
      </c>
      <c r="F907" s="3"/>
      <c r="G907" s="2"/>
      <c r="H907" s="40"/>
      <c r="I907" s="6"/>
    </row>
    <row r="908" spans="1:10" hidden="1" outlineLevel="2">
      <c r="A908" s="24" t="s">
        <v>545</v>
      </c>
      <c r="B908" s="2" t="s">
        <v>153</v>
      </c>
      <c r="C908" s="2" t="s">
        <v>16</v>
      </c>
      <c r="D908" s="2" t="s">
        <v>153</v>
      </c>
      <c r="E908" s="39" t="str">
        <f>VLOOKUP($D908,PRECIOS_REFERENCIAS!A$3:D$48,2,FALSE)</f>
        <v>SUMINISTRO DE FUENTE ALIMENTACIÓN CPU REMOTAS</v>
      </c>
      <c r="F908" s="3">
        <v>1</v>
      </c>
      <c r="G908" s="2" t="s">
        <v>18</v>
      </c>
      <c r="H908" s="40">
        <f>VLOOKUP($D908,PRECIOS_REFERENCIAS!A$3:D$48,4,FALSE)</f>
        <v>180.01500000000001</v>
      </c>
      <c r="I908" s="6">
        <f>H908*F908</f>
        <v>180.01500000000001</v>
      </c>
    </row>
    <row r="909" spans="1:10" hidden="1" outlineLevel="2">
      <c r="A909" s="23"/>
      <c r="B909" s="7"/>
      <c r="C909" s="7"/>
      <c r="D909" s="7"/>
      <c r="E909" s="5" t="str">
        <f>VLOOKUP($D908,PRECIOS_REFERENCIAS!A$3:D$48,3,FALSE)</f>
        <v>SITOP PSU6200 24 V/10 A // 6EP3334-7SB00-3AX0    </v>
      </c>
      <c r="F909" s="7"/>
      <c r="G909" s="7"/>
      <c r="I909" s="6"/>
    </row>
    <row r="910" spans="1:10" hidden="1" outlineLevel="2">
      <c r="A910" s="24" t="s">
        <v>546</v>
      </c>
      <c r="B910" s="2" t="s">
        <v>155</v>
      </c>
      <c r="C910" s="2" t="s">
        <v>16</v>
      </c>
      <c r="D910" s="2" t="s">
        <v>156</v>
      </c>
      <c r="E910" s="39" t="str">
        <f>VLOOKUP($D910,PRECIOS_REFERENCIAS!A$3:D$98,2,FALSE)</f>
        <v>TARJETA DE MEMORIA S7-1200</v>
      </c>
      <c r="F910" s="3">
        <v>1</v>
      </c>
      <c r="G910" s="2" t="s">
        <v>18</v>
      </c>
      <c r="H910" s="40">
        <f>VLOOKUP($D910,PRECIOS_REFERENCIAS!A$3:D$100,4,FALSE)</f>
        <v>263.13750000000005</v>
      </c>
      <c r="I910" s="6">
        <f>H910*F910</f>
        <v>263.13750000000005</v>
      </c>
    </row>
    <row r="911" spans="1:10" hidden="1" outlineLevel="2">
      <c r="A911" s="23"/>
      <c r="B911" s="7"/>
      <c r="C911" s="7"/>
      <c r="D911" s="7"/>
      <c r="E911" s="5" t="str">
        <f>VLOOKUP($D910,PRECIOS_REFERENCIAS!A$3:D$98,3,FALSE)</f>
        <v>SIMATIC S7 Memory Card, 24 MB //6ES7954-8LF03-0AA0</v>
      </c>
      <c r="F911" s="7"/>
      <c r="G911" s="7"/>
      <c r="I911" s="6"/>
    </row>
    <row r="912" spans="1:10" hidden="1" outlineLevel="2">
      <c r="A912" s="24" t="s">
        <v>547</v>
      </c>
      <c r="B912" s="2" t="s">
        <v>158</v>
      </c>
      <c r="C912" s="2" t="s">
        <v>16</v>
      </c>
      <c r="D912" s="2" t="s">
        <v>159</v>
      </c>
      <c r="E912" s="39" t="str">
        <f>VLOOKUP($D912,PRECIOS_REFERENCIAS!A$3:D$90,2,FALSE)</f>
        <v>TARJETA COMUNICACIONES  S7-1200</v>
      </c>
      <c r="F912" s="3">
        <v>1</v>
      </c>
      <c r="G912" s="2" t="s">
        <v>18</v>
      </c>
      <c r="H912" s="40">
        <f>VLOOKUP($D912,PRECIOS_REFERENCIAS!A$3:D$90,4,FALSE)</f>
        <v>518.66999999999996</v>
      </c>
      <c r="I912" s="6">
        <f>H912*F912</f>
        <v>518.66999999999996</v>
      </c>
    </row>
    <row r="913" spans="1:9" hidden="1" outlineLevel="2">
      <c r="A913" s="23"/>
      <c r="B913" s="2"/>
      <c r="C913" s="38"/>
      <c r="D913" s="2"/>
      <c r="E913" s="5" t="str">
        <f>VLOOKUP($D912,PRECIOS_REFERENCIAS!A$3:D$90,3,FALSE)</f>
        <v>SIMATIC S7-1200  Modulo Ethernet CP 1243-1  //6GK7243-1BX30-0XE0</v>
      </c>
      <c r="F913" s="3"/>
      <c r="G913" s="2"/>
      <c r="H913" s="40"/>
      <c r="I913" s="6"/>
    </row>
    <row r="914" spans="1:9" hidden="1" outlineLevel="2">
      <c r="A914" s="24" t="s">
        <v>548</v>
      </c>
      <c r="B914" s="2" t="s">
        <v>20</v>
      </c>
      <c r="C914" s="2" t="s">
        <v>21</v>
      </c>
      <c r="D914" s="2" t="s">
        <v>161</v>
      </c>
      <c r="E914" s="39" t="str">
        <f>VLOOKUP($D914,PRECIOS_REFERENCIAS!A$3:D$90,2,FALSE)</f>
        <v>INSTALACION COM ADICIONAL</v>
      </c>
      <c r="F914" s="3">
        <v>1</v>
      </c>
      <c r="G914" s="2" t="s">
        <v>18</v>
      </c>
      <c r="H914" s="40">
        <f>VLOOKUP($D914,PRECIOS_REFERENCIAS!A$3:D$90,4,FALSE)</f>
        <v>40</v>
      </c>
      <c r="I914" s="6">
        <f>H914*F914</f>
        <v>40</v>
      </c>
    </row>
    <row r="915" spans="1:9" hidden="1" outlineLevel="2">
      <c r="A915" s="23"/>
      <c r="B915" s="7"/>
      <c r="C915" s="7"/>
      <c r="D915" s="7"/>
      <c r="E915" s="5" t="str">
        <f>VLOOKUP($D914,PRECIOS_REFERENCIAS!A$3:D$90,3,FALSE)</f>
        <v xml:space="preserve">INSTALACION TARJETA COMUNICACIONES ADICIONAL </v>
      </c>
      <c r="F915" s="7"/>
      <c r="G915" s="7"/>
      <c r="I915" s="6"/>
    </row>
    <row r="916" spans="1:9" hidden="1" outlineLevel="2">
      <c r="A916" s="24" t="s">
        <v>549</v>
      </c>
      <c r="B916" s="2" t="s">
        <v>108</v>
      </c>
      <c r="C916" s="2" t="s">
        <v>16</v>
      </c>
      <c r="D916" s="2" t="s">
        <v>108</v>
      </c>
      <c r="E916" s="39" t="str">
        <f>VLOOKUP($D916,PRECIOS_REFERENCIAS!A$3:D$48,2,FALSE)</f>
        <v>SUMINISTRO MÓDULO DE 16 ENTRADAS DIGITALES</v>
      </c>
      <c r="F916" s="3">
        <v>1</v>
      </c>
      <c r="G916" s="2" t="s">
        <v>18</v>
      </c>
      <c r="H916" s="40">
        <f>VLOOKUP($D916,PRECIOS_REFERENCIAS!A$3:D$48,4,FALSE)</f>
        <v>177.54749999999999</v>
      </c>
      <c r="I916" s="6">
        <f>H916*F916</f>
        <v>177.54749999999999</v>
      </c>
    </row>
    <row r="917" spans="1:9" hidden="1" outlineLevel="2">
      <c r="A917" s="23"/>
      <c r="B917" s="7"/>
      <c r="C917" s="7"/>
      <c r="D917" s="7"/>
      <c r="E917" s="5" t="str">
        <f>VLOOKUP($D916,PRECIOS_REFERENCIAS!A$3:D$48,3,FALSE)</f>
        <v xml:space="preserve">SIMATIC S7-1200,  Módulo SM1221 //6ES7221-1BH32-0XB0 </v>
      </c>
      <c r="F917" s="7"/>
      <c r="G917" s="7"/>
      <c r="I917" s="6"/>
    </row>
    <row r="918" spans="1:9" hidden="1" outlineLevel="2">
      <c r="A918" s="24" t="s">
        <v>550</v>
      </c>
      <c r="B918" s="2" t="s">
        <v>20</v>
      </c>
      <c r="C918" s="2" t="s">
        <v>21</v>
      </c>
      <c r="D918" s="2" t="s">
        <v>35</v>
      </c>
      <c r="E918" s="39" t="str">
        <f>VLOOKUP($D918,PRECIOS_REFERENCIAS!A$3:D$90,2,FALSE)</f>
        <v>INSTALACION ED</v>
      </c>
      <c r="F918" s="3">
        <v>2</v>
      </c>
      <c r="G918" s="2" t="s">
        <v>18</v>
      </c>
      <c r="H918" s="40">
        <f>VLOOKUP($D918,PRECIOS_REFERENCIAS!A$3:D$90,4,FALSE)</f>
        <v>161.97310014887609</v>
      </c>
      <c r="I918" s="6">
        <f>H918*F918</f>
        <v>323.94620029775217</v>
      </c>
    </row>
    <row r="919" spans="1:9" hidden="1" outlineLevel="2">
      <c r="A919" s="23"/>
      <c r="B919" s="2"/>
      <c r="C919" s="7"/>
      <c r="D919" s="2"/>
      <c r="E919" s="5" t="str">
        <f>VLOOKUP($D918,PRECIOS_REFERENCIAS!A$3:D$90,3,FALSE)</f>
        <v>SUSTITUCIÓN DE MÓDULO DE E/S DIGITALES DE PLC EXISTENTE POR NUEVO MÓDULO DE PLC DEFINIDO. ENTRADA DIGITAL 16</v>
      </c>
      <c r="F919" s="3"/>
      <c r="G919" s="2"/>
      <c r="H919" s="40"/>
      <c r="I919" s="6"/>
    </row>
    <row r="920" spans="1:9" hidden="1" outlineLevel="2">
      <c r="A920" s="24" t="s">
        <v>551</v>
      </c>
      <c r="B920" s="2" t="s">
        <v>20</v>
      </c>
      <c r="C920" s="2" t="s">
        <v>21</v>
      </c>
      <c r="D920" s="2" t="s">
        <v>41</v>
      </c>
      <c r="E920" s="39" t="str">
        <f>VLOOKUP($D920,PRECIOS_REFERENCIAS!A$3:D$90,2,FALSE)</f>
        <v>INSTALACION SD</v>
      </c>
      <c r="F920" s="3">
        <v>1</v>
      </c>
      <c r="G920" s="2" t="s">
        <v>18</v>
      </c>
      <c r="H920" s="40">
        <f>VLOOKUP($D920,PRECIOS_REFERENCIAS!A$3:D$90,4,FALSE)</f>
        <v>162.83522293745065</v>
      </c>
      <c r="I920" s="6">
        <f>H920*F920</f>
        <v>162.83522293745065</v>
      </c>
    </row>
    <row r="921" spans="1:9" hidden="1" outlineLevel="2">
      <c r="A921" s="23"/>
      <c r="B921" s="2"/>
      <c r="C921" s="7"/>
      <c r="D921" s="2"/>
      <c r="E921" s="5" t="str">
        <f>VLOOKUP($D920,PRECIOS_REFERENCIAS!A$3:D$90,3,FALSE)</f>
        <v>SUSTITUCIÓN DE MÓDULO DE E/S DIGITALES DE PLC EXISTENTE POR NUEVO MÓDULO DE PLC DEFINIDO. SALIDA DIGITAL 16</v>
      </c>
      <c r="F921" s="3"/>
      <c r="G921" s="2"/>
      <c r="H921" s="40"/>
      <c r="I921" s="6"/>
    </row>
    <row r="922" spans="1:9" hidden="1" outlineLevel="2">
      <c r="A922" s="24" t="s">
        <v>552</v>
      </c>
      <c r="B922" s="2" t="s">
        <v>114</v>
      </c>
      <c r="C922" s="2" t="s">
        <v>16</v>
      </c>
      <c r="D922" s="2" t="s">
        <v>114</v>
      </c>
      <c r="E922" s="39" t="str">
        <f>VLOOKUP($D922,PRECIOS_REFERENCIAS!A$3:D$48,2,FALSE)</f>
        <v>SUMINISTRO MÓDULO DE 8 ENTRADAS ANALÓGICAS</v>
      </c>
      <c r="F922" s="3">
        <v>1</v>
      </c>
      <c r="G922" s="2" t="s">
        <v>18</v>
      </c>
      <c r="H922" s="40">
        <f>VLOOKUP($D922,PRECIOS_REFERENCIAS!A$3:D$48,4,FALSE)</f>
        <v>372.39749999999998</v>
      </c>
      <c r="I922" s="6">
        <f>H922*F922</f>
        <v>372.39749999999998</v>
      </c>
    </row>
    <row r="923" spans="1:9" hidden="1" outlineLevel="2">
      <c r="A923" s="23"/>
      <c r="B923" s="7"/>
      <c r="C923" s="7"/>
      <c r="D923" s="7"/>
      <c r="E923" s="5" t="str">
        <f>VLOOKUP($D922,PRECIOS_REFERENCIAS!A$3:D$48,3,FALSE)</f>
        <v xml:space="preserve">SIMATIC S7-1200,  Módulo de Entradas analógicas, SM 1231, 8 EA //6ES7231-4HF32-0XB0 </v>
      </c>
      <c r="F923" s="7"/>
      <c r="G923" s="7"/>
      <c r="I923" s="6"/>
    </row>
    <row r="924" spans="1:9" hidden="1" outlineLevel="2">
      <c r="A924" s="24" t="s">
        <v>553</v>
      </c>
      <c r="B924" s="2" t="s">
        <v>20</v>
      </c>
      <c r="C924" s="2" t="s">
        <v>21</v>
      </c>
      <c r="D924" s="2" t="s">
        <v>46</v>
      </c>
      <c r="E924" s="39" t="str">
        <f>VLOOKUP($D924,PRECIOS_REFERENCIAS!A$3:D$90,2,FALSE)</f>
        <v>INSTALACION EA</v>
      </c>
      <c r="F924" s="3">
        <v>2</v>
      </c>
      <c r="G924" s="2" t="s">
        <v>18</v>
      </c>
      <c r="H924" s="40">
        <f>VLOOKUP($D924,PRECIOS_REFERENCIAS!A$3:D$90,4,FALSE)</f>
        <v>237.18351660213608</v>
      </c>
      <c r="I924" s="6">
        <f>H924*F924</f>
        <v>474.36703320427216</v>
      </c>
    </row>
    <row r="925" spans="1:9" hidden="1" outlineLevel="2">
      <c r="A925" s="23"/>
      <c r="B925" s="2"/>
      <c r="C925" s="7"/>
      <c r="D925" s="2"/>
      <c r="E925" s="5" t="str">
        <f>VLOOKUP($D924,PRECIOS_REFERENCIAS!A$3:D$90,3,FALSE)</f>
        <v>SUSTITUCIÓN DE MÓDULO DE E/S ANALÓGICAS DE PLC EXISTENTE POR NUEVO MÓDULO DE PLC DEFINIDO. ENTRADA ANALÓGICAS 8</v>
      </c>
      <c r="F925" s="3"/>
      <c r="G925" s="2"/>
      <c r="H925" s="40"/>
      <c r="I925" s="6"/>
    </row>
    <row r="926" spans="1:9" hidden="1" outlineLevel="2">
      <c r="A926" s="24" t="s">
        <v>554</v>
      </c>
      <c r="B926" s="2" t="s">
        <v>170</v>
      </c>
      <c r="C926" s="2" t="s">
        <v>16</v>
      </c>
      <c r="D926" s="2" t="s">
        <v>170</v>
      </c>
      <c r="E926" s="39" t="str">
        <f>VLOOKUP($D926,PRECIOS_REFERENCIAS!A$3:D$48,2,FALSE)</f>
        <v>SUMINISTRO MÓDULO DE 2 SALIDAS ANALÓGICAS</v>
      </c>
      <c r="F926" s="3">
        <v>1</v>
      </c>
      <c r="G926" s="2" t="s">
        <v>18</v>
      </c>
      <c r="H926" s="40">
        <f>VLOOKUP($D926,PRECIOS_REFERENCIAS!A$3:D$48,4,FALSE)</f>
        <v>243.10499999999999</v>
      </c>
      <c r="I926" s="6">
        <f>H926*F926</f>
        <v>243.10499999999999</v>
      </c>
    </row>
    <row r="927" spans="1:9" hidden="1" outlineLevel="2">
      <c r="A927" s="23"/>
      <c r="B927" s="7"/>
      <c r="C927" s="2"/>
      <c r="D927" s="7"/>
      <c r="E927" s="5" t="str">
        <f>VLOOKUP($D926,PRECIOS_REFERENCIAS!A$3:D$48,3,FALSE)</f>
        <v xml:space="preserve">SIMATIC S7-1200,  Módulo de Salidas analógicas, SM 1232, 2 AO //6ES7232-4HB32-0XB0 </v>
      </c>
      <c r="F927" s="7"/>
      <c r="G927" s="7"/>
      <c r="I927" s="6"/>
    </row>
    <row r="928" spans="1:9" hidden="1" outlineLevel="2">
      <c r="A928" s="24" t="s">
        <v>555</v>
      </c>
      <c r="B928" s="2" t="s">
        <v>20</v>
      </c>
      <c r="C928" s="2" t="s">
        <v>21</v>
      </c>
      <c r="D928" s="2" t="s">
        <v>41</v>
      </c>
      <c r="E928" s="39" t="str">
        <f>VLOOKUP($D928,PRECIOS_REFERENCIAS!A$3:D$90,2,FALSE)</f>
        <v>INSTALACION SD</v>
      </c>
      <c r="F928" s="3">
        <f>F926</f>
        <v>1</v>
      </c>
      <c r="G928" s="2" t="s">
        <v>18</v>
      </c>
      <c r="H928" s="40">
        <f>VLOOKUP($D928,PRECIOS_REFERENCIAS!A$3:D$90,4,FALSE)</f>
        <v>162.83522293745065</v>
      </c>
      <c r="I928" s="6">
        <f>H928*F928</f>
        <v>162.83522293745065</v>
      </c>
    </row>
    <row r="929" spans="1:9" hidden="1" outlineLevel="2">
      <c r="A929" s="23"/>
      <c r="B929" s="2"/>
      <c r="C929" s="7"/>
      <c r="D929" s="2"/>
      <c r="E929" s="5" t="str">
        <f>VLOOKUP($D928,PRECIOS_REFERENCIAS!A$3:D$90,3,FALSE)</f>
        <v>SUSTITUCIÓN DE MÓDULO DE E/S DIGITALES DE PLC EXISTENTE POR NUEVO MÓDULO DE PLC DEFINIDO. SALIDA DIGITAL 16</v>
      </c>
      <c r="F929" s="3"/>
      <c r="G929" s="2"/>
      <c r="H929" s="40"/>
      <c r="I929" s="6"/>
    </row>
    <row r="930" spans="1:9" hidden="1" outlineLevel="2">
      <c r="A930" s="24" t="s">
        <v>556</v>
      </c>
      <c r="B930" s="2" t="s">
        <v>54</v>
      </c>
      <c r="C930" s="2" t="s">
        <v>16</v>
      </c>
      <c r="D930" s="2" t="s">
        <v>54</v>
      </c>
      <c r="E930" s="39" t="str">
        <f>VLOOKUP($D930,PRECIOS_REFERENCIAS!A$3:D$48,2,FALSE)</f>
        <v>HMI LOCAL 7" ETHERNET Y COLOR</v>
      </c>
      <c r="F930" s="3">
        <v>1</v>
      </c>
      <c r="G930" s="2" t="s">
        <v>18</v>
      </c>
      <c r="H930" s="40">
        <f>VLOOKUP($D930,PRECIOS_REFERENCIAS!A$3:D$48,4,FALSE)</f>
        <v>612.79</v>
      </c>
      <c r="I930" s="6">
        <f>H930*F930</f>
        <v>612.79</v>
      </c>
    </row>
    <row r="931" spans="1:9" hidden="1" outlineLevel="2">
      <c r="A931" s="23"/>
      <c r="B931" s="2"/>
      <c r="C931" s="2"/>
      <c r="D931" s="2"/>
      <c r="E931" s="5" t="str">
        <f>VLOOKUP($D930,PRECIOS_REFERENCIAS!A$3:D$48,3,FALSE)</f>
        <v>SIMATIC HMI, KTP700 Basic, Basic Panel, Manejo con teclado/táctil, pantalla TFT de 7", 65536 colores // 6ES7531-7NF00-0AB0</v>
      </c>
      <c r="F931" s="7"/>
      <c r="G931" s="7"/>
      <c r="I931" s="6"/>
    </row>
    <row r="932" spans="1:9" hidden="1" outlineLevel="2">
      <c r="A932" s="24" t="s">
        <v>557</v>
      </c>
      <c r="B932" s="2" t="s">
        <v>20</v>
      </c>
      <c r="C932" s="2" t="s">
        <v>21</v>
      </c>
      <c r="D932" s="2" t="s">
        <v>56</v>
      </c>
      <c r="E932" s="39" t="str">
        <f>VLOOKUP($D932,PRECIOS_REFERENCIAS!A$3:D$90,2,FALSE)</f>
        <v>INSTALACION HMI</v>
      </c>
      <c r="F932" s="3">
        <f>F930</f>
        <v>1</v>
      </c>
      <c r="G932" s="2" t="s">
        <v>18</v>
      </c>
      <c r="H932" s="40">
        <f>VLOOKUP($D932,PRECIOS_REFERENCIAS!A$3:D$90,4,FALSE)</f>
        <v>125</v>
      </c>
      <c r="I932" s="6">
        <f>H932*F932</f>
        <v>125</v>
      </c>
    </row>
    <row r="933" spans="1:9" hidden="1" outlineLevel="2">
      <c r="A933" s="23"/>
      <c r="B933" s="2"/>
      <c r="C933" s="7"/>
      <c r="D933" s="2"/>
      <c r="E933" s="5" t="str">
        <f>VLOOKUP($D932,PRECIOS_REFERENCIAS!A$3:D$90,3,FALSE)</f>
        <v>INSTALACIÓN DE PANTALLA HMI</v>
      </c>
      <c r="F933" s="3"/>
      <c r="G933" s="2"/>
      <c r="H933" s="40"/>
      <c r="I933" s="6"/>
    </row>
    <row r="934" spans="1:9" hidden="1" outlineLevel="2">
      <c r="A934" s="24" t="s">
        <v>558</v>
      </c>
      <c r="B934" s="2" t="s">
        <v>213</v>
      </c>
      <c r="C934" s="2" t="s">
        <v>16</v>
      </c>
      <c r="D934" s="2" t="s">
        <v>258</v>
      </c>
      <c r="E934" s="39" t="str">
        <f>VLOOKUP($D934,PRECIOS_REFERENCIAS!A$3:D$48,2,FALSE)</f>
        <v>SWITCH SHDSL 2 PUERTOS + BYPASS</v>
      </c>
      <c r="F934" s="3">
        <v>1</v>
      </c>
      <c r="G934" s="2" t="s">
        <v>18</v>
      </c>
      <c r="H934" s="40">
        <f>VLOOKUP($D934,PRECIOS_REFERENCIAS!A$3:D$48,4,FALSE)</f>
        <v>1024.6500000000001</v>
      </c>
      <c r="I934" s="6">
        <f>H934*F934</f>
        <v>1024.6500000000001</v>
      </c>
    </row>
    <row r="935" spans="1:9" hidden="1" outlineLevel="2">
      <c r="A935" s="23"/>
      <c r="B935" s="2"/>
      <c r="C935" s="2"/>
      <c r="D935" s="2"/>
      <c r="E935" s="5" t="str">
        <f>VLOOKUP($D934,PRECIOS_REFERENCIAS!A$3:D$48,3,FALSE)</f>
        <v>SWITCH XSLAN+BP2400 O SIMILAR</v>
      </c>
      <c r="F935" s="7"/>
      <c r="G935" s="7"/>
      <c r="I935" s="6"/>
    </row>
    <row r="936" spans="1:9" hidden="1" outlineLevel="2">
      <c r="A936" s="24" t="s">
        <v>559</v>
      </c>
      <c r="B936" s="2" t="s">
        <v>20</v>
      </c>
      <c r="C936" s="2" t="s">
        <v>21</v>
      </c>
      <c r="D936" s="2" t="s">
        <v>61</v>
      </c>
      <c r="E936" s="39" t="str">
        <f>VLOOKUP($D936,PRECIOS_REFERENCIAS!A$3:D$90,2,FALSE)</f>
        <v>INSTALACION SWITCH SHDSL</v>
      </c>
      <c r="F936" s="3">
        <f>F934</f>
        <v>1</v>
      </c>
      <c r="G936" s="2" t="s">
        <v>18</v>
      </c>
      <c r="H936" s="40">
        <f>VLOOKUP($D936,PRECIOS_REFERENCIAS!A$3:D$90,4,FALSE)</f>
        <v>40</v>
      </c>
      <c r="I936" s="6">
        <f>H936*F936</f>
        <v>40</v>
      </c>
    </row>
    <row r="937" spans="1:9" hidden="1" outlineLevel="2">
      <c r="A937" s="23"/>
      <c r="B937" s="2"/>
      <c r="C937" s="7"/>
      <c r="D937" s="2"/>
      <c r="E937" s="5" t="str">
        <f>VLOOKUP($D936,PRECIOS_REFERENCIAS!A$3:D$90,3,FALSE)</f>
        <v>INSTALACIÓN DE ROUTER</v>
      </c>
      <c r="F937" s="3"/>
      <c r="G937" s="2"/>
      <c r="H937" s="40"/>
      <c r="I937" s="6"/>
    </row>
    <row r="938" spans="1:9" hidden="1" outlineLevel="2">
      <c r="A938" s="24" t="s">
        <v>560</v>
      </c>
      <c r="B938" s="2" t="s">
        <v>63</v>
      </c>
      <c r="C938" s="2" t="s">
        <v>16</v>
      </c>
      <c r="D938" s="2" t="s">
        <v>63</v>
      </c>
      <c r="E938" s="39" t="str">
        <f>VLOOKUP($D938,PRECIOS_REFERENCIAS!A$3:D$48,2,FALSE)</f>
        <v>DESCARGADOR DE SOBRETENSIONES LÍNEA SHDSL</v>
      </c>
      <c r="F938" s="3">
        <v>1</v>
      </c>
      <c r="G938" s="2" t="s">
        <v>18</v>
      </c>
      <c r="H938" s="40">
        <f>VLOOKUP($D938,PRECIOS_REFERENCIAS!A$3:D$48,4,FALSE)</f>
        <v>187</v>
      </c>
      <c r="I938" s="6">
        <f>H938*F938</f>
        <v>187</v>
      </c>
    </row>
    <row r="939" spans="1:9" hidden="1" outlineLevel="2">
      <c r="A939" s="23"/>
      <c r="B939" s="2"/>
      <c r="C939" s="2"/>
      <c r="D939" s="2"/>
      <c r="E939" s="5" t="str">
        <f>VLOOKUP($D938,PRECIOS_REFERENCIAS!A$3:D$48,3,FALSE)</f>
        <v>Equipo DT-TELE-SHDSL de Phoenix Contact con 2 puertos para conexión SHDSL</v>
      </c>
      <c r="F939" s="7"/>
      <c r="G939" s="7"/>
      <c r="I939" s="6"/>
    </row>
    <row r="940" spans="1:9" hidden="1" outlineLevel="2">
      <c r="A940" s="24" t="s">
        <v>561</v>
      </c>
      <c r="B940" s="2" t="s">
        <v>20</v>
      </c>
      <c r="C940" s="2" t="s">
        <v>21</v>
      </c>
      <c r="D940" s="2" t="s">
        <v>65</v>
      </c>
      <c r="E940" s="39" t="str">
        <f>VLOOKUP($D940,PRECIOS_REFERENCIAS!A$3:D$90,2,FALSE)</f>
        <v>INSTALACION DESCARGADOR</v>
      </c>
      <c r="F940" s="3">
        <f>F938</f>
        <v>1</v>
      </c>
      <c r="G940" s="2" t="s">
        <v>18</v>
      </c>
      <c r="H940" s="40">
        <f>VLOOKUP($D940,PRECIOS_REFERENCIAS!A$3:D$90,4,FALSE)</f>
        <v>64.403155112394401</v>
      </c>
      <c r="I940" s="6">
        <f>H940*F940</f>
        <v>64.403155112394401</v>
      </c>
    </row>
    <row r="941" spans="1:9" hidden="1" outlineLevel="2">
      <c r="A941" s="23"/>
      <c r="B941" s="2"/>
      <c r="C941" s="7"/>
      <c r="D941" s="2"/>
      <c r="E941" s="5" t="str">
        <f>VLOOKUP($D940,PRECIOS_REFERENCIAS!A$3:D$90,3,FALSE)</f>
        <v>INSTALACIÓN DE PROTECCIÓN CONTRA SOBRETENSIONES</v>
      </c>
      <c r="F941" s="3"/>
      <c r="G941" s="2"/>
      <c r="H941" s="40"/>
      <c r="I941" s="6"/>
    </row>
    <row r="942" spans="1:9" hidden="1" outlineLevel="2">
      <c r="A942" s="24" t="s">
        <v>562</v>
      </c>
      <c r="B942" s="2" t="s">
        <v>79</v>
      </c>
      <c r="C942" s="2" t="s">
        <v>80</v>
      </c>
      <c r="D942" s="2" t="s">
        <v>81</v>
      </c>
      <c r="E942" s="39" t="str">
        <f>VLOOKUP($D942,PRECIOS_REFERENCIAS!A$3:D$90,2,FALSE)</f>
        <v>PLANIFICACION</v>
      </c>
      <c r="F942" s="3">
        <v>1</v>
      </c>
      <c r="G942" s="2" t="s">
        <v>18</v>
      </c>
      <c r="H942" s="40">
        <f>VLOOKUP($D942,PRECIOS_REFERENCIAS!A$3:D$90,4,FALSE)</f>
        <v>40</v>
      </c>
      <c r="I942" s="6">
        <f>H942*F942</f>
        <v>40</v>
      </c>
    </row>
    <row r="943" spans="1:9" hidden="1" outlineLevel="2">
      <c r="A943" s="23"/>
      <c r="B943" s="2"/>
      <c r="C943" s="2"/>
      <c r="D943" s="2"/>
      <c r="E943" s="5" t="str">
        <f>VLOOKUP($D942,PRECIOS_REFERENCIAS!A$3:D$90,3,FALSE)</f>
        <v>PLANIFICACIÓN DE LOS TRABAJOS Y DESCARGA EN LOCAL DEL PROGRAMA DEL PLC</v>
      </c>
      <c r="F943" s="3"/>
      <c r="G943" s="2"/>
      <c r="H943" s="40"/>
      <c r="I943" s="6"/>
    </row>
    <row r="944" spans="1:9" hidden="1" outlineLevel="2">
      <c r="A944" s="24" t="s">
        <v>563</v>
      </c>
      <c r="B944" s="2" t="s">
        <v>83</v>
      </c>
      <c r="C944" s="2" t="s">
        <v>80</v>
      </c>
      <c r="D944" s="2" t="s">
        <v>80</v>
      </c>
      <c r="E944" s="39" t="str">
        <f>VLOOKUP($D944,PRECIOS_REFERENCIAS!A$3:D$90,2,FALSE)</f>
        <v>INGENIERIA + ESQUEMAS</v>
      </c>
      <c r="F944" s="3">
        <v>1</v>
      </c>
      <c r="G944" s="2" t="s">
        <v>18</v>
      </c>
      <c r="H944" s="40">
        <f>VLOOKUP($D944,PRECIOS_REFERENCIAS!A$3:D$90,4,FALSE)</f>
        <v>300</v>
      </c>
      <c r="I944" s="6">
        <f>H944*F944</f>
        <v>300</v>
      </c>
    </row>
    <row r="945" spans="1:10" ht="22.5" hidden="1" outlineLevel="2">
      <c r="A945" s="23"/>
      <c r="B945" s="2"/>
      <c r="C945" s="2"/>
      <c r="D945" s="2"/>
      <c r="E945" s="5" t="str">
        <f>VLOOKUP($D944,PRECIOS_REFERENCIAS!A$3:D$90,3,FALSE)</f>
        <v>INGENIERÍA DE ACTUALIZACIÓN DE ESQUEMAS ELÉCTRICOS. INCLUYE LA REVISIÓN LOCAL DE LOS CUADROS Y ELEMENTOS DE CONTROL, ASÍ COMO LA COMPROBACIÓN DE LAS SEÑALES DE CONTROL.</v>
      </c>
      <c r="F945" s="3"/>
      <c r="G945" s="2"/>
      <c r="H945" s="40"/>
      <c r="I945" s="6"/>
    </row>
    <row r="946" spans="1:10" hidden="1" outlineLevel="2">
      <c r="A946" s="24" t="s">
        <v>564</v>
      </c>
      <c r="B946" s="2" t="s">
        <v>88</v>
      </c>
      <c r="C946" s="2" t="s">
        <v>80</v>
      </c>
      <c r="D946" s="2" t="s">
        <v>89</v>
      </c>
      <c r="E946" s="39" t="str">
        <f>VLOOKUP($D946,PRECIOS_REFERENCIAS!A$3:D$90,2,FALSE)</f>
        <v>PROGRAMA PLC NUEVO</v>
      </c>
      <c r="F946" s="3">
        <v>1</v>
      </c>
      <c r="G946" s="2" t="s">
        <v>18</v>
      </c>
      <c r="H946" s="40">
        <f>VLOOKUP($D946,PRECIOS_REFERENCIAS!A$3:D$90,4,FALSE)</f>
        <v>407.75660964439658</v>
      </c>
      <c r="I946" s="6">
        <f>H946*F946</f>
        <v>407.75660964439658</v>
      </c>
    </row>
    <row r="947" spans="1:10" hidden="1" outlineLevel="2">
      <c r="A947" s="23"/>
      <c r="B947" s="2"/>
      <c r="C947" s="2"/>
      <c r="D947" s="2"/>
      <c r="E947" s="5" t="str">
        <f>VLOOKUP($D946,PRECIOS_REFERENCIAS!A$3:D$90,3,FALSE)</f>
        <v>MIGRACION DEL PROGRAMA ACTUAL A LA NUEVA PLATAFORMA DE PROGRAMACION</v>
      </c>
      <c r="I947" s="6"/>
    </row>
    <row r="948" spans="1:10" hidden="1" outlineLevel="2">
      <c r="A948" s="24" t="s">
        <v>565</v>
      </c>
      <c r="B948" s="2" t="s">
        <v>94</v>
      </c>
      <c r="C948" s="2" t="s">
        <v>80</v>
      </c>
      <c r="D948" s="2" t="s">
        <v>95</v>
      </c>
      <c r="E948" s="39" t="str">
        <f>VLOOKUP($D948,PRECIOS_REFERENCIAS!A$3:D$90,2,FALSE)</f>
        <v>PEM REMOTA</v>
      </c>
      <c r="F948" s="3">
        <v>1</v>
      </c>
      <c r="G948" s="2" t="s">
        <v>18</v>
      </c>
      <c r="H948" s="40">
        <f>VLOOKUP($D948,PRECIOS_REFERENCIAS!A$3:D$90,4,FALSE)</f>
        <v>851.7</v>
      </c>
      <c r="I948" s="6">
        <f>H948*F948</f>
        <v>851.7</v>
      </c>
    </row>
    <row r="949" spans="1:10" hidden="1" outlineLevel="2">
      <c r="A949" s="23"/>
      <c r="B949" s="2"/>
      <c r="C949" s="2"/>
      <c r="D949" s="2"/>
      <c r="E949" s="5" t="str">
        <f>VLOOKUP($D948,PRECIOS_REFERENCIAS!A$3:D$90,3,FALSE)</f>
        <v>PUESTA EN MARCHA DEL PROGRAMA DE CONTROL LOCAL</v>
      </c>
      <c r="F949" s="3"/>
      <c r="G949" s="2"/>
      <c r="H949" s="40"/>
      <c r="I949" s="6"/>
    </row>
    <row r="950" spans="1:10" hidden="1" outlineLevel="2">
      <c r="A950" s="24" t="s">
        <v>566</v>
      </c>
      <c r="B950" s="2" t="s">
        <v>97</v>
      </c>
      <c r="C950" s="2" t="s">
        <v>80</v>
      </c>
      <c r="D950" s="2" t="s">
        <v>98</v>
      </c>
      <c r="E950" s="39" t="str">
        <f>VLOOKUP($D950,PRECIOS_REFERENCIAS!A$3:D$90,2,FALSE)</f>
        <v>REVISION SCADA</v>
      </c>
      <c r="F950" s="3">
        <v>1</v>
      </c>
      <c r="G950" s="2" t="s">
        <v>18</v>
      </c>
      <c r="H950" s="40">
        <f>VLOOKUP($D950,PRECIOS_REFERENCIAS!A$3:D$90,4,FALSE)</f>
        <v>60</v>
      </c>
      <c r="I950" s="6">
        <f>H950*F950</f>
        <v>60</v>
      </c>
    </row>
    <row r="951" spans="1:10" hidden="1" outlineLevel="2">
      <c r="A951" s="23"/>
      <c r="B951" s="2"/>
      <c r="C951" s="2"/>
      <c r="D951" s="2"/>
      <c r="E951" s="5" t="str">
        <f>VLOOKUP($D950,PRECIOS_REFERENCIAS!A$3:D$90,3,FALSE)</f>
        <v>REVISIÓN DEL PROGRAMA DE SUPERVISIÓN SCADA</v>
      </c>
      <c r="I951" s="6"/>
    </row>
    <row r="952" spans="1:10" hidden="1" outlineLevel="2">
      <c r="A952" s="24"/>
      <c r="B952" s="2"/>
      <c r="C952" s="2" t="s">
        <v>16</v>
      </c>
      <c r="D952" s="2"/>
      <c r="E952" s="76" t="str">
        <f>CONCATENATE(E899," - TOTAL HARDWARE")</f>
        <v>ER9 BOMBEO AZTIRIA - TOTAL HARDWARE</v>
      </c>
      <c r="F952" s="74"/>
      <c r="G952" s="74"/>
      <c r="H952" s="74"/>
      <c r="I952" s="75">
        <f>I900+I904+I908+I912+I916+I922+I926+I930+I934+I938+I910</f>
        <v>3998.2481182073298</v>
      </c>
    </row>
    <row r="953" spans="1:10" hidden="1" outlineLevel="2">
      <c r="A953" s="23"/>
      <c r="B953" s="2"/>
      <c r="C953" s="2" t="s">
        <v>21</v>
      </c>
      <c r="D953" s="2"/>
      <c r="E953" s="76" t="str">
        <f>CONCATENATE(E899," - TOTAL INSTALACION")</f>
        <v>ER9 BOMBEO AZTIRIA - TOTAL INSTALACION</v>
      </c>
      <c r="F953" s="74"/>
      <c r="G953" s="74"/>
      <c r="H953" s="74"/>
      <c r="I953" s="75">
        <f>I902+I906+I914+I918+I920+I924+I928+I932+I936+I940</f>
        <v>1552.6898477372185</v>
      </c>
    </row>
    <row r="954" spans="1:10" hidden="1" outlineLevel="2">
      <c r="A954" s="23"/>
      <c r="B954" s="2"/>
      <c r="C954" s="2" t="s">
        <v>80</v>
      </c>
      <c r="D954" s="2"/>
      <c r="E954" s="76" t="str">
        <f>CONCATENATE(E899," - TOTAL INGENIERIA")</f>
        <v>ER9 BOMBEO AZTIRIA - TOTAL INGENIERIA</v>
      </c>
      <c r="F954" s="74"/>
      <c r="G954" s="74"/>
      <c r="H954" s="74"/>
      <c r="I954" s="75">
        <f>I942+I944+I946+I948+I950</f>
        <v>1659.4566096443966</v>
      </c>
      <c r="J954" s="22">
        <f>SUM(I952:I954)</f>
        <v>7210.3945755889454</v>
      </c>
    </row>
    <row r="955" spans="1:10" hidden="1" outlineLevel="2">
      <c r="A955" s="24"/>
      <c r="E955" s="41" t="s">
        <v>567</v>
      </c>
      <c r="F955" s="41"/>
      <c r="G955" s="41"/>
      <c r="H955" s="41"/>
      <c r="I955" s="42">
        <f>SUM(I900:I951)</f>
        <v>7210.3945755889426</v>
      </c>
    </row>
    <row r="956" spans="1:10" hidden="1" outlineLevel="1">
      <c r="A956" s="44" t="s">
        <v>568</v>
      </c>
      <c r="B956" s="44"/>
      <c r="C956" s="44"/>
      <c r="D956" s="44"/>
      <c r="E956" s="43" t="s">
        <v>569</v>
      </c>
      <c r="F956" s="44"/>
      <c r="G956" s="44" t="s">
        <v>11</v>
      </c>
      <c r="H956" s="45"/>
      <c r="I956" s="64">
        <f>I1020</f>
        <v>6254.082313603255</v>
      </c>
    </row>
    <row r="957" spans="1:10" hidden="1" outlineLevel="2">
      <c r="A957" s="24" t="s">
        <v>570</v>
      </c>
      <c r="B957" s="2" t="s">
        <v>15</v>
      </c>
      <c r="C957" s="2" t="s">
        <v>16</v>
      </c>
      <c r="D957" s="2" t="s">
        <v>15</v>
      </c>
      <c r="E957" s="39" t="str">
        <f>VLOOKUP($D957,PRECIOS_REFERENCIAS!A$3:D$90,2,FALSE)</f>
        <v xml:space="preserve">CARRIL DIN </v>
      </c>
      <c r="F957" s="3">
        <v>1</v>
      </c>
      <c r="G957" s="2" t="s">
        <v>18</v>
      </c>
      <c r="H957" s="40">
        <f>VLOOKUP($D957,PRECIOS_REFERENCIAS!A$3:D$90,4,FALSE)</f>
        <v>2.6481182073295662</v>
      </c>
      <c r="I957" s="6">
        <f>H957*F957</f>
        <v>2.6481182073295662</v>
      </c>
    </row>
    <row r="958" spans="1:10" hidden="1" outlineLevel="2">
      <c r="A958" s="23"/>
      <c r="B958" s="2"/>
      <c r="C958" s="2"/>
      <c r="D958" s="2"/>
      <c r="E958" s="5" t="str">
        <f>VLOOKUP($D957,PRECIOS_REFERENCIAS!A$3:D$90,3,FALSE)</f>
        <v>CARRIL DIN PARA REMOTA S7-1200</v>
      </c>
      <c r="F958" s="3"/>
      <c r="G958" s="2"/>
      <c r="H958" s="40"/>
      <c r="I958" s="6"/>
    </row>
    <row r="959" spans="1:10" hidden="1" outlineLevel="2">
      <c r="A959" s="24" t="s">
        <v>571</v>
      </c>
      <c r="B959" s="2" t="s">
        <v>20</v>
      </c>
      <c r="C959" s="2" t="s">
        <v>21</v>
      </c>
      <c r="D959" s="2" t="s">
        <v>22</v>
      </c>
      <c r="E959" s="39" t="str">
        <f>VLOOKUP($D959,PRECIOS_REFERENCIAS!A$3:D$90,2,FALSE)</f>
        <v xml:space="preserve">INSTALACION CARRIL DIN </v>
      </c>
      <c r="F959" s="3">
        <v>1</v>
      </c>
      <c r="G959" s="2" t="s">
        <v>18</v>
      </c>
      <c r="H959" s="40">
        <f>VLOOKUP($D959,PRECIOS_REFERENCIAS!A$3:D$90,4,FALSE)</f>
        <v>35.402252939916011</v>
      </c>
      <c r="I959" s="6">
        <f>H959*F959</f>
        <v>35.402252939916011</v>
      </c>
    </row>
    <row r="960" spans="1:10" hidden="1" outlineLevel="2">
      <c r="A960" s="23"/>
      <c r="B960" s="2"/>
      <c r="C960" s="2"/>
      <c r="D960" s="2"/>
      <c r="E960" s="5" t="str">
        <f>VLOOKUP($D959,PRECIOS_REFERENCIAS!A$3:D$90,3,FALSE)</f>
        <v>SUSTITUCIÓN DE PERFIL SOPORTE DE PLC EXISTENTE POR NUEVO PERFIL DE PLC DEFINIDO, DENTRO DEL ARMARIO ELÉCTRICO ACTUAL.</v>
      </c>
      <c r="F960" s="3"/>
      <c r="G960" s="2"/>
      <c r="H960" s="40"/>
      <c r="I960" s="6"/>
    </row>
    <row r="961" spans="1:9" hidden="1" outlineLevel="2">
      <c r="A961" s="24" t="s">
        <v>572</v>
      </c>
      <c r="B961" s="2" t="s">
        <v>104</v>
      </c>
      <c r="C961" s="2" t="s">
        <v>16</v>
      </c>
      <c r="D961" s="2" t="s">
        <v>104</v>
      </c>
      <c r="E961" s="39" t="str">
        <f>VLOOKUP($D961,PRECIOS_REFERENCIAS!A$3:D$48,2,FALSE)</f>
        <v>SUMINISTRO DE CPU REMOTAS</v>
      </c>
      <c r="F961" s="3">
        <v>1</v>
      </c>
      <c r="G961" s="2" t="s">
        <v>18</v>
      </c>
      <c r="H961" s="40">
        <f>VLOOKUP($D961,PRECIOS_REFERENCIAS!A$3:D$48,4,FALSE)</f>
        <v>416.28749999999997</v>
      </c>
      <c r="I961" s="6">
        <f>H961*F961</f>
        <v>416.28749999999997</v>
      </c>
    </row>
    <row r="962" spans="1:9" hidden="1" outlineLevel="2">
      <c r="A962" s="23"/>
      <c r="B962" s="38"/>
      <c r="C962" s="38"/>
      <c r="D962" s="38"/>
      <c r="E962" s="5" t="str">
        <f>VLOOKUP($D961,PRECIOS_REFERENCIAS!A$3:D$48,3,FALSE)</f>
        <v>SIMATIC S7-1200 - CPU 1214C //6ES7214-1AG40-0XB0</v>
      </c>
      <c r="F962" s="7"/>
      <c r="G962" s="7"/>
      <c r="I962" s="6"/>
    </row>
    <row r="963" spans="1:9" hidden="1" outlineLevel="2">
      <c r="A963" s="24" t="s">
        <v>573</v>
      </c>
      <c r="B963" s="2" t="s">
        <v>20</v>
      </c>
      <c r="C963" s="2" t="s">
        <v>21</v>
      </c>
      <c r="D963" s="2" t="s">
        <v>28</v>
      </c>
      <c r="E963" s="39" t="str">
        <f>VLOOKUP($D963,PRECIOS_REFERENCIAS!A$3:D$90,2,FALSE)</f>
        <v>INSTALACION CPU</v>
      </c>
      <c r="F963" s="3">
        <v>1</v>
      </c>
      <c r="G963" s="2" t="s">
        <v>18</v>
      </c>
      <c r="H963" s="40">
        <f>VLOOKUP($D963,PRECIOS_REFERENCIAS!A$3:D$90,4,FALSE)</f>
        <v>123.90076030798227</v>
      </c>
      <c r="I963" s="6">
        <f>H963*F963</f>
        <v>123.90076030798227</v>
      </c>
    </row>
    <row r="964" spans="1:9" hidden="1" outlineLevel="2">
      <c r="A964" s="23"/>
      <c r="B964" s="2"/>
      <c r="C964" s="2"/>
      <c r="D964" s="2"/>
      <c r="E964" s="5" t="str">
        <f>VLOOKUP($D963,PRECIOS_REFERENCIAS!A$3:D$90,3,FALSE)</f>
        <v>SUSTITUCIÓN DE CPU DE PLC EXISTENTE POR NUEVA CPU DE PLC DEFINIDA</v>
      </c>
      <c r="F964" s="3"/>
      <c r="G964" s="2"/>
      <c r="H964" s="40"/>
      <c r="I964" s="6"/>
    </row>
    <row r="965" spans="1:9" hidden="1" outlineLevel="2">
      <c r="A965" s="24" t="s">
        <v>574</v>
      </c>
      <c r="B965" s="2" t="s">
        <v>153</v>
      </c>
      <c r="C965" s="2" t="s">
        <v>16</v>
      </c>
      <c r="D965" s="2" t="s">
        <v>153</v>
      </c>
      <c r="E965" s="39" t="str">
        <f>VLOOKUP($D965,PRECIOS_REFERENCIAS!A$3:D$48,2,FALSE)</f>
        <v>SUMINISTRO DE FUENTE ALIMENTACIÓN CPU REMOTAS</v>
      </c>
      <c r="F965" s="3">
        <v>1</v>
      </c>
      <c r="G965" s="2" t="s">
        <v>18</v>
      </c>
      <c r="H965" s="40">
        <f>VLOOKUP($D965,PRECIOS_REFERENCIAS!A$3:D$48,4,FALSE)</f>
        <v>180.01500000000001</v>
      </c>
      <c r="I965" s="6">
        <f>H965*F965</f>
        <v>180.01500000000001</v>
      </c>
    </row>
    <row r="966" spans="1:9" hidden="1" outlineLevel="2">
      <c r="A966" s="23"/>
      <c r="B966" s="7"/>
      <c r="C966" s="7"/>
      <c r="D966" s="7"/>
      <c r="E966" s="5" t="str">
        <f>VLOOKUP($D965,PRECIOS_REFERENCIAS!A$3:D$48,3,FALSE)</f>
        <v>SITOP PSU6200 24 V/10 A // 6EP3334-7SB00-3AX0    </v>
      </c>
      <c r="F966" s="7"/>
      <c r="G966" s="7"/>
      <c r="I966" s="6"/>
    </row>
    <row r="967" spans="1:9" hidden="1" outlineLevel="2">
      <c r="A967" s="24" t="s">
        <v>575</v>
      </c>
      <c r="B967" s="2" t="s">
        <v>155</v>
      </c>
      <c r="C967" s="2" t="s">
        <v>16</v>
      </c>
      <c r="D967" s="2" t="s">
        <v>156</v>
      </c>
      <c r="E967" s="39" t="str">
        <f>VLOOKUP($D967,PRECIOS_REFERENCIAS!A$3:D$98,2,FALSE)</f>
        <v>TARJETA DE MEMORIA S7-1200</v>
      </c>
      <c r="F967" s="3">
        <v>1</v>
      </c>
      <c r="G967" s="2" t="s">
        <v>18</v>
      </c>
      <c r="H967" s="40">
        <f>VLOOKUP($D967,PRECIOS_REFERENCIAS!A$3:D$100,4,FALSE)</f>
        <v>263.13750000000005</v>
      </c>
      <c r="I967" s="6">
        <f>H967*F967</f>
        <v>263.13750000000005</v>
      </c>
    </row>
    <row r="968" spans="1:9" hidden="1" outlineLevel="2">
      <c r="A968" s="23"/>
      <c r="B968" s="7"/>
      <c r="C968" s="7"/>
      <c r="D968" s="7"/>
      <c r="E968" s="5" t="str">
        <f>VLOOKUP($D967,PRECIOS_REFERENCIAS!A$3:D$98,3,FALSE)</f>
        <v>SIMATIC S7 Memory Card, 24 MB //6ES7954-8LF03-0AA0</v>
      </c>
      <c r="F968" s="7"/>
      <c r="G968" s="7"/>
      <c r="I968" s="6"/>
    </row>
    <row r="969" spans="1:9" hidden="1" outlineLevel="2">
      <c r="A969" s="24" t="s">
        <v>576</v>
      </c>
      <c r="B969" s="2" t="s">
        <v>158</v>
      </c>
      <c r="C969" s="2" t="s">
        <v>16</v>
      </c>
      <c r="D969" s="2" t="s">
        <v>159</v>
      </c>
      <c r="E969" s="39" t="str">
        <f>VLOOKUP($D969,PRECIOS_REFERENCIAS!A$3:D$90,2,FALSE)</f>
        <v>TARJETA COMUNICACIONES  S7-1200</v>
      </c>
      <c r="F969" s="3">
        <v>1</v>
      </c>
      <c r="G969" s="2" t="s">
        <v>18</v>
      </c>
      <c r="H969" s="40">
        <f>VLOOKUP($D969,PRECIOS_REFERENCIAS!A$3:D$90,4,FALSE)</f>
        <v>518.66999999999996</v>
      </c>
      <c r="I969" s="6">
        <f>H969*F969</f>
        <v>518.66999999999996</v>
      </c>
    </row>
    <row r="970" spans="1:9" hidden="1" outlineLevel="2">
      <c r="A970" s="23"/>
      <c r="B970" s="2"/>
      <c r="C970" s="38"/>
      <c r="D970" s="2"/>
      <c r="E970" s="5" t="str">
        <f>VLOOKUP($D969,PRECIOS_REFERENCIAS!A$3:D$90,3,FALSE)</f>
        <v>SIMATIC S7-1200  Modulo Ethernet CP 1243-1  //6GK7243-1BX30-0XE0</v>
      </c>
      <c r="F970" s="3"/>
      <c r="G970" s="2"/>
      <c r="H970" s="40"/>
      <c r="I970" s="6"/>
    </row>
    <row r="971" spans="1:9" hidden="1" outlineLevel="2">
      <c r="A971" s="24" t="s">
        <v>577</v>
      </c>
      <c r="B971" s="2" t="s">
        <v>20</v>
      </c>
      <c r="C971" s="2" t="s">
        <v>21</v>
      </c>
      <c r="D971" s="2" t="s">
        <v>161</v>
      </c>
      <c r="E971" s="39" t="str">
        <f>VLOOKUP($D971,PRECIOS_REFERENCIAS!A$3:D$90,2,FALSE)</f>
        <v>INSTALACION COM ADICIONAL</v>
      </c>
      <c r="F971" s="3">
        <v>1</v>
      </c>
      <c r="G971" s="2" t="s">
        <v>18</v>
      </c>
      <c r="H971" s="40">
        <f>VLOOKUP($D971,PRECIOS_REFERENCIAS!A$3:D$90,4,FALSE)</f>
        <v>40</v>
      </c>
      <c r="I971" s="6">
        <f>H971*F971</f>
        <v>40</v>
      </c>
    </row>
    <row r="972" spans="1:9" hidden="1" outlineLevel="2">
      <c r="A972" s="23"/>
      <c r="B972" s="7"/>
      <c r="C972" s="7"/>
      <c r="D972" s="7"/>
      <c r="E972" s="5" t="str">
        <f>VLOOKUP($D971,PRECIOS_REFERENCIAS!A$3:D$90,3,FALSE)</f>
        <v xml:space="preserve">INSTALACION TARJETA COMUNICACIONES ADICIONAL </v>
      </c>
      <c r="F972" s="7"/>
      <c r="G972" s="7"/>
      <c r="I972" s="6"/>
    </row>
    <row r="973" spans="1:9" hidden="1" outlineLevel="2">
      <c r="A973" s="24" t="s">
        <v>578</v>
      </c>
      <c r="B973" s="2" t="s">
        <v>196</v>
      </c>
      <c r="C973" s="2" t="s">
        <v>16</v>
      </c>
      <c r="D973" s="2" t="s">
        <v>197</v>
      </c>
      <c r="E973" s="39" t="str">
        <f>VLOOKUP($D973,PRECIOS_REFERENCIAS!A$3:D$48,2,FALSE)</f>
        <v>TARJETA COMUNICACIÓN RS485 S7-1200</v>
      </c>
      <c r="F973" s="3">
        <v>1</v>
      </c>
      <c r="G973" s="2" t="s">
        <v>18</v>
      </c>
      <c r="H973" s="40">
        <f>VLOOKUP($D973,PRECIOS_REFERENCIAS!A$3:D$48,4,FALSE)</f>
        <v>130.19999999999999</v>
      </c>
      <c r="I973" s="6">
        <f>H973*F973</f>
        <v>130.19999999999999</v>
      </c>
    </row>
    <row r="974" spans="1:9" hidden="1" outlineLevel="2">
      <c r="A974" s="23"/>
      <c r="B974" s="7"/>
      <c r="C974" s="38"/>
      <c r="D974" s="7"/>
      <c r="E974" s="5" t="str">
        <f>VLOOKUP($D973,PRECIOS_REFERENCIAS!A$3:D$48,3,FALSE)</f>
        <v>Modul de comunic. CM 1241, RS422/485  //6ES7241-1CH32-0XB0</v>
      </c>
      <c r="F974" s="7"/>
      <c r="G974" s="7"/>
      <c r="I974" s="6"/>
    </row>
    <row r="975" spans="1:9" hidden="1" outlineLevel="2">
      <c r="A975" s="24" t="s">
        <v>579</v>
      </c>
      <c r="B975" s="2" t="s">
        <v>201</v>
      </c>
      <c r="C975" s="2" t="s">
        <v>16</v>
      </c>
      <c r="D975" s="2" t="s">
        <v>202</v>
      </c>
      <c r="E975" s="39" t="str">
        <f>VLOOKUP($D975,PRECIOS_REFERENCIAS!A$3:D$48,2,FALSE)</f>
        <v>TARJETA COMUNICACIÓN MODBUS CAUDALIMETRO</v>
      </c>
      <c r="F975" s="3">
        <f>F973</f>
        <v>1</v>
      </c>
      <c r="G975" s="2" t="s">
        <v>18</v>
      </c>
      <c r="H975" s="40">
        <f>VLOOKUP($D975,PRECIOS_REFERENCIAS!A$3:D$48,4,FALSE)</f>
        <v>183.48750000000001</v>
      </c>
      <c r="I975" s="6">
        <f>H975*F975</f>
        <v>183.48750000000001</v>
      </c>
    </row>
    <row r="976" spans="1:9" hidden="1" outlineLevel="2">
      <c r="A976" s="23"/>
      <c r="B976" s="7"/>
      <c r="C976" s="38"/>
      <c r="D976" s="7"/>
      <c r="E976" s="5" t="str">
        <f>VLOOKUP($D975,PRECIOS_REFERENCIAS!A$3:D$48,3,FALSE)</f>
        <v>TARJETA MODBUS RTU/RS485 para caudalímetro MAG 6000 // FDK:085U0234</v>
      </c>
      <c r="F976" s="7"/>
      <c r="G976" s="7"/>
      <c r="I976" s="6"/>
    </row>
    <row r="977" spans="1:9" hidden="1" outlineLevel="2">
      <c r="A977" s="24" t="s">
        <v>580</v>
      </c>
      <c r="B977" s="2" t="s">
        <v>20</v>
      </c>
      <c r="C977" s="2" t="s">
        <v>21</v>
      </c>
      <c r="D977" s="2" t="s">
        <v>204</v>
      </c>
      <c r="E977" s="39" t="str">
        <f>VLOOKUP($D977,PRECIOS_REFERENCIAS!A$3:D$90,2,FALSE)</f>
        <v>INSTALACION TARJETA MODBUS CAUDALIMETRO</v>
      </c>
      <c r="F977" s="3">
        <f>F975</f>
        <v>1</v>
      </c>
      <c r="G977" s="2" t="s">
        <v>18</v>
      </c>
      <c r="H977" s="40">
        <f>VLOOKUP($D977,PRECIOS_REFERENCIAS!A$3:D$90,4,FALSE)</f>
        <v>40</v>
      </c>
      <c r="I977" s="6">
        <f>H977*F977</f>
        <v>40</v>
      </c>
    </row>
    <row r="978" spans="1:9" hidden="1" outlineLevel="2">
      <c r="A978" s="23"/>
      <c r="B978" s="2"/>
      <c r="C978" s="2"/>
      <c r="D978" s="2"/>
      <c r="E978" s="5" t="str">
        <f>VLOOKUP($D977,PRECIOS_REFERENCIAS!A$3:D$90,3,FALSE)</f>
        <v>INSTALACIÓN DE LA TARJETA DE MODBUS EN EL CAUDALIMETRO</v>
      </c>
      <c r="F978" s="3"/>
      <c r="G978" s="2"/>
      <c r="H978" s="40"/>
      <c r="I978" s="6"/>
    </row>
    <row r="979" spans="1:9" hidden="1" outlineLevel="2">
      <c r="A979" s="24" t="s">
        <v>581</v>
      </c>
      <c r="B979" s="2" t="s">
        <v>20</v>
      </c>
      <c r="C979" s="2" t="s">
        <v>21</v>
      </c>
      <c r="D979" s="2" t="s">
        <v>199</v>
      </c>
      <c r="E979" s="39" t="str">
        <f>VLOOKUP($D979,PRECIOS_REFERENCIAS!A$3:D$90,2,FALSE)</f>
        <v>INSTALACION CABLEADO MODBUS CAUDALIMETRO</v>
      </c>
      <c r="F979" s="3">
        <v>2</v>
      </c>
      <c r="G979" s="2" t="s">
        <v>18</v>
      </c>
      <c r="H979" s="40">
        <f>VLOOKUP($D979,PRECIOS_REFERENCIAS!A$3:D$90,4,FALSE)</f>
        <v>40</v>
      </c>
      <c r="I979" s="6">
        <f>H979*F979</f>
        <v>80</v>
      </c>
    </row>
    <row r="980" spans="1:9" hidden="1" outlineLevel="2">
      <c r="A980" s="23"/>
      <c r="B980" s="2"/>
      <c r="C980" s="2"/>
      <c r="D980" s="2"/>
      <c r="E980" s="5" t="str">
        <f>VLOOKUP($D979,PRECIOS_REFERENCIAS!A$3:D$90,3,FALSE)</f>
        <v>INSTALACIÓN DEL CABLEADO MODUS PARA CADA CAUDALIMETRO CON COMUNICACIÓN MODBUS</v>
      </c>
      <c r="F980" s="3"/>
      <c r="G980" s="2"/>
      <c r="H980" s="40"/>
      <c r="I980" s="6"/>
    </row>
    <row r="981" spans="1:9" hidden="1" outlineLevel="2">
      <c r="A981" s="24" t="s">
        <v>582</v>
      </c>
      <c r="B981" s="2" t="s">
        <v>20</v>
      </c>
      <c r="C981" s="2" t="s">
        <v>21</v>
      </c>
      <c r="D981" s="2" t="s">
        <v>35</v>
      </c>
      <c r="E981" s="39" t="str">
        <f>VLOOKUP($D981,PRECIOS_REFERENCIAS!A$3:D$90,2,FALSE)</f>
        <v>INSTALACION ED</v>
      </c>
      <c r="F981" s="3">
        <v>1</v>
      </c>
      <c r="G981" s="2" t="s">
        <v>18</v>
      </c>
      <c r="H981" s="40">
        <f>VLOOKUP($D981,PRECIOS_REFERENCIAS!A$3:D$90,4,FALSE)</f>
        <v>161.97310014887609</v>
      </c>
      <c r="I981" s="6">
        <f>H981*F981</f>
        <v>161.97310014887609</v>
      </c>
    </row>
    <row r="982" spans="1:9" hidden="1" outlineLevel="2">
      <c r="A982" s="23"/>
      <c r="B982" s="2"/>
      <c r="C982" s="7"/>
      <c r="D982" s="2"/>
      <c r="E982" s="5" t="str">
        <f>VLOOKUP($D981,PRECIOS_REFERENCIAS!A$3:D$90,3,FALSE)</f>
        <v>SUSTITUCIÓN DE MÓDULO DE E/S DIGITALES DE PLC EXISTENTE POR NUEVO MÓDULO DE PLC DEFINIDO. ENTRADA DIGITAL 16</v>
      </c>
      <c r="F982" s="3"/>
      <c r="G982" s="2"/>
      <c r="H982" s="40"/>
      <c r="I982" s="6"/>
    </row>
    <row r="983" spans="1:9" hidden="1" outlineLevel="2">
      <c r="A983" s="24" t="s">
        <v>583</v>
      </c>
      <c r="B983" s="2" t="s">
        <v>114</v>
      </c>
      <c r="C983" s="2" t="s">
        <v>16</v>
      </c>
      <c r="D983" s="2" t="s">
        <v>114</v>
      </c>
      <c r="E983" s="39" t="str">
        <f>VLOOKUP($D983,PRECIOS_REFERENCIAS!A$3:D$48,2,FALSE)</f>
        <v>SUMINISTRO MÓDULO DE 8 ENTRADAS ANALÓGICAS</v>
      </c>
      <c r="F983" s="3">
        <v>1</v>
      </c>
      <c r="G983" s="2" t="s">
        <v>18</v>
      </c>
      <c r="H983" s="40">
        <f>VLOOKUP($D983,PRECIOS_REFERENCIAS!A$3:D$48,4,FALSE)</f>
        <v>372.39749999999998</v>
      </c>
      <c r="I983" s="6">
        <f>H983*F983</f>
        <v>372.39749999999998</v>
      </c>
    </row>
    <row r="984" spans="1:9" hidden="1" outlineLevel="2">
      <c r="A984" s="23"/>
      <c r="B984" s="7"/>
      <c r="C984" s="7"/>
      <c r="D984" s="7"/>
      <c r="E984" s="5" t="str">
        <f>VLOOKUP($D983,PRECIOS_REFERENCIAS!A$3:D$48,3,FALSE)</f>
        <v xml:space="preserve">SIMATIC S7-1200,  Módulo de Entradas analógicas, SM 1231, 8 EA //6ES7231-4HF32-0XB0 </v>
      </c>
      <c r="F984" s="7"/>
      <c r="G984" s="7"/>
      <c r="I984" s="6"/>
    </row>
    <row r="985" spans="1:9" hidden="1" outlineLevel="2">
      <c r="A985" s="24" t="s">
        <v>584</v>
      </c>
      <c r="B985" s="2" t="s">
        <v>20</v>
      </c>
      <c r="C985" s="2" t="s">
        <v>21</v>
      </c>
      <c r="D985" s="2" t="s">
        <v>46</v>
      </c>
      <c r="E985" s="39" t="str">
        <f>VLOOKUP($D985,PRECIOS_REFERENCIAS!A$3:D$90,2,FALSE)</f>
        <v>INSTALACION EA</v>
      </c>
      <c r="F985" s="3">
        <v>2</v>
      </c>
      <c r="G985" s="2" t="s">
        <v>18</v>
      </c>
      <c r="H985" s="40">
        <f>VLOOKUP($D985,PRECIOS_REFERENCIAS!A$3:D$90,4,FALSE)</f>
        <v>237.18351660213608</v>
      </c>
      <c r="I985" s="6">
        <f>H985*F985</f>
        <v>474.36703320427216</v>
      </c>
    </row>
    <row r="986" spans="1:9" hidden="1" outlineLevel="2">
      <c r="A986" s="23"/>
      <c r="B986" s="2"/>
      <c r="C986" s="7"/>
      <c r="D986" s="2"/>
      <c r="E986" s="5" t="str">
        <f>VLOOKUP($D985,PRECIOS_REFERENCIAS!A$3:D$90,3,FALSE)</f>
        <v>SUSTITUCIÓN DE MÓDULO DE E/S ANALÓGICAS DE PLC EXISTENTE POR NUEVO MÓDULO DE PLC DEFINIDO. ENTRADA ANALÓGICAS 8</v>
      </c>
      <c r="F986" s="3"/>
      <c r="G986" s="2"/>
      <c r="H986" s="40"/>
      <c r="I986" s="6"/>
    </row>
    <row r="987" spans="1:9" hidden="1" outlineLevel="2">
      <c r="A987" s="24" t="s">
        <v>585</v>
      </c>
      <c r="B987" s="2" t="s">
        <v>20</v>
      </c>
      <c r="C987" s="2" t="s">
        <v>21</v>
      </c>
      <c r="D987" s="2" t="s">
        <v>208</v>
      </c>
      <c r="E987" s="39" t="str">
        <f>VLOOKUP($D987,PRECIOS_REFERENCIAS!A$3:D$90,2,FALSE)</f>
        <v>RETIRADA CABLE CAUDAL SEÑAL ANALOGICA</v>
      </c>
      <c r="F987" s="3">
        <v>2</v>
      </c>
      <c r="G987" s="2" t="s">
        <v>18</v>
      </c>
      <c r="H987" s="40">
        <f>VLOOKUP($D987,PRECIOS_REFERENCIAS!A$3:D$90,4,FALSE)</f>
        <v>30</v>
      </c>
      <c r="I987" s="6">
        <f>H987*F987</f>
        <v>60</v>
      </c>
    </row>
    <row r="988" spans="1:9" hidden="1" outlineLevel="2">
      <c r="A988" s="23"/>
      <c r="B988" s="2"/>
      <c r="C988" s="2"/>
      <c r="D988" s="2"/>
      <c r="E988" s="5" t="str">
        <f>VLOOKUP($D987,PRECIOS_REFERENCIAS!A$3:D$90,3,FALSE)</f>
        <v>RETIRADA DEL CABLE ANALOGICO DEL CAUDALIMETRO POR LA COMUNICACIÓN ACTUAL MODBUS</v>
      </c>
      <c r="F988" s="3"/>
      <c r="G988" s="2"/>
      <c r="H988" s="40"/>
      <c r="I988" s="6"/>
    </row>
    <row r="989" spans="1:9" hidden="1" outlineLevel="2">
      <c r="A989" s="24" t="s">
        <v>586</v>
      </c>
      <c r="B989" s="2" t="s">
        <v>210</v>
      </c>
      <c r="C989" s="2" t="s">
        <v>16</v>
      </c>
      <c r="D989" s="2" t="s">
        <v>210</v>
      </c>
      <c r="E989" s="39" t="str">
        <f>VLOOKUP($D989,PRECIOS_REFERENCIAS!A$3:D$48,2,FALSE)</f>
        <v>HMI LOCAL 4" ETHERNET Y COLOR</v>
      </c>
      <c r="F989" s="3">
        <v>1</v>
      </c>
      <c r="G989" s="2" t="s">
        <v>18</v>
      </c>
      <c r="H989" s="40">
        <f>VLOOKUP($D989,PRECIOS_REFERENCIAS!A$3:D$48,4,FALSE)</f>
        <v>297.52999999999997</v>
      </c>
      <c r="I989" s="6">
        <f>H989*F989</f>
        <v>297.52999999999997</v>
      </c>
    </row>
    <row r="990" spans="1:9" hidden="1" outlineLevel="2">
      <c r="A990" s="23"/>
      <c r="B990" s="2"/>
      <c r="C990" s="2"/>
      <c r="D990" s="2"/>
      <c r="E990" s="5" t="str">
        <f>VLOOKUP($D989,PRECIOS_REFERENCIAS!A$3:D$48,3,FALSE)</f>
        <v>SIMATIC HMI, KTP400 Basic, Basic Panel, Manejo con teclado/táctil, pantalla TFT de 4", 65536 colores // 6AV2123-2GB03-0AX0</v>
      </c>
      <c r="F990" s="7"/>
      <c r="G990" s="7"/>
      <c r="I990" s="6"/>
    </row>
    <row r="991" spans="1:9" hidden="1" outlineLevel="2">
      <c r="A991" s="24" t="s">
        <v>587</v>
      </c>
      <c r="B991" s="2" t="s">
        <v>20</v>
      </c>
      <c r="C991" s="2" t="s">
        <v>21</v>
      </c>
      <c r="D991" s="2" t="s">
        <v>56</v>
      </c>
      <c r="E991" s="39" t="str">
        <f>VLOOKUP($D991,PRECIOS_REFERENCIAS!A$3:D$90,2,FALSE)</f>
        <v>INSTALACION HMI</v>
      </c>
      <c r="F991" s="3">
        <f>F989</f>
        <v>1</v>
      </c>
      <c r="G991" s="2" t="s">
        <v>18</v>
      </c>
      <c r="H991" s="40">
        <f>VLOOKUP($D991,PRECIOS_REFERENCIAS!A$3:D$90,4,FALSE)</f>
        <v>125</v>
      </c>
      <c r="I991" s="6">
        <f>H991*F991</f>
        <v>125</v>
      </c>
    </row>
    <row r="992" spans="1:9" hidden="1" outlineLevel="2">
      <c r="A992" s="23"/>
      <c r="B992" s="2"/>
      <c r="C992" s="7"/>
      <c r="D992" s="2"/>
      <c r="E992" s="5" t="str">
        <f>VLOOKUP($D991,PRECIOS_REFERENCIAS!A$3:D$90,3,FALSE)</f>
        <v>INSTALACIÓN DE PANTALLA HMI</v>
      </c>
      <c r="F992" s="3"/>
      <c r="G992" s="2"/>
      <c r="H992" s="40"/>
      <c r="I992" s="6"/>
    </row>
    <row r="993" spans="1:9" hidden="1" outlineLevel="2">
      <c r="A993" s="24" t="s">
        <v>588</v>
      </c>
      <c r="B993" s="2" t="s">
        <v>67</v>
      </c>
      <c r="C993" s="2" t="s">
        <v>16</v>
      </c>
      <c r="D993" s="2" t="s">
        <v>67</v>
      </c>
      <c r="E993" s="39" t="str">
        <f>VLOOKUP($D993,PRECIOS_REFERENCIAS!A$3:D$48,2,FALSE)</f>
        <v>ROUTER VPN 4G</v>
      </c>
      <c r="F993" s="3">
        <v>1</v>
      </c>
      <c r="G993" s="2" t="s">
        <v>18</v>
      </c>
      <c r="H993" s="40">
        <f>VLOOKUP($D993,PRECIOS_REFERENCIAS!A$3:D$48,4,FALSE)</f>
        <v>560.25</v>
      </c>
      <c r="I993" s="6">
        <f>H993*F993</f>
        <v>560.25</v>
      </c>
    </row>
    <row r="994" spans="1:9" hidden="1" outlineLevel="2">
      <c r="A994" s="23"/>
      <c r="B994" s="2"/>
      <c r="C994" s="2"/>
      <c r="D994" s="2"/>
      <c r="E994" s="5" t="str">
        <f>VLOOKUP($D993,PRECIOS_REFERENCIAS!A$3:D$48,3,FALSE)</f>
        <v>ROUTER IPL-C-100-LW O SIMILAR</v>
      </c>
      <c r="F994" s="7"/>
      <c r="G994" s="7"/>
      <c r="I994" s="6"/>
    </row>
    <row r="995" spans="1:9" hidden="1" outlineLevel="2">
      <c r="A995" s="24" t="s">
        <v>589</v>
      </c>
      <c r="B995" s="2" t="s">
        <v>20</v>
      </c>
      <c r="C995" s="2" t="s">
        <v>21</v>
      </c>
      <c r="D995" s="2" t="s">
        <v>69</v>
      </c>
      <c r="E995" s="39" t="str">
        <f>VLOOKUP($D995,PRECIOS_REFERENCIAS!A$3:D$90,2,FALSE)</f>
        <v>INSTALACION ROUTER 4G</v>
      </c>
      <c r="F995" s="3">
        <f>F993</f>
        <v>1</v>
      </c>
      <c r="G995" s="2" t="s">
        <v>18</v>
      </c>
      <c r="H995" s="40">
        <f>VLOOKUP($D995,PRECIOS_REFERENCIAS!A$3:D$90,4,FALSE)</f>
        <v>40</v>
      </c>
      <c r="I995" s="6">
        <f>H995*F995</f>
        <v>40</v>
      </c>
    </row>
    <row r="996" spans="1:9" hidden="1" outlineLevel="2">
      <c r="A996" s="23"/>
      <c r="B996" s="2"/>
      <c r="C996" s="7"/>
      <c r="D996" s="2"/>
      <c r="E996" s="5" t="str">
        <f>VLOOKUP($D995,PRECIOS_REFERENCIAS!A$3:D$90,3,FALSE)</f>
        <v>INSTALACIÓN DE ROUTER 4G</v>
      </c>
      <c r="F996" s="3"/>
      <c r="G996" s="2"/>
      <c r="H996" s="40"/>
      <c r="I996" s="6"/>
    </row>
    <row r="997" spans="1:9" hidden="1" outlineLevel="2">
      <c r="A997" s="24" t="s">
        <v>590</v>
      </c>
      <c r="B997" s="2" t="s">
        <v>71</v>
      </c>
      <c r="C997" s="2" t="s">
        <v>16</v>
      </c>
      <c r="D997" s="2" t="s">
        <v>71</v>
      </c>
      <c r="E997" s="39" t="str">
        <f>VLOOKUP($D997,PRECIOS_REFERENCIAS!A$3:D$48,2,FALSE)</f>
        <v>ANTENA 4G CON CABLE DE 5 METROS Y KIT MONTAJE ANTENA</v>
      </c>
      <c r="F997" s="3">
        <v>1</v>
      </c>
      <c r="G997" s="2" t="s">
        <v>18</v>
      </c>
      <c r="H997" s="40">
        <f>VLOOKUP($D997,PRECIOS_REFERENCIAS!A$3:D$48,4,FALSE)</f>
        <v>152.67857142857142</v>
      </c>
      <c r="I997" s="6">
        <f>H997*F997</f>
        <v>152.67857142857142</v>
      </c>
    </row>
    <row r="998" spans="1:9" hidden="1" outlineLevel="2">
      <c r="A998" s="23"/>
      <c r="E998" s="5" t="str">
        <f>VLOOKUP($D997,PRECIOS_REFERENCIAS!A$3:D$48,3,FALSE)</f>
        <v>ANTENA 310 + KIT MONTAJE ANTENA 310</v>
      </c>
      <c r="I998" s="6"/>
    </row>
    <row r="999" spans="1:9" hidden="1" outlineLevel="2">
      <c r="A999" s="24" t="s">
        <v>591</v>
      </c>
      <c r="B999" s="2" t="s">
        <v>20</v>
      </c>
      <c r="C999" s="2" t="s">
        <v>21</v>
      </c>
      <c r="D999" s="2" t="s">
        <v>73</v>
      </c>
      <c r="E999" s="39" t="str">
        <f>VLOOKUP($D999,PRECIOS_REFERENCIAS!A$3:D$90,2,FALSE)</f>
        <v>INSTALACION ANTENA EXTERIOR</v>
      </c>
      <c r="F999" s="3">
        <f>F997</f>
        <v>1</v>
      </c>
      <c r="G999" s="2" t="s">
        <v>18</v>
      </c>
      <c r="H999" s="40">
        <f>VLOOKUP($D999,PRECIOS_REFERENCIAS!A$3:D$90,4,FALSE)</f>
        <v>149.03086772191051</v>
      </c>
      <c r="I999" s="6">
        <f>H999*F999</f>
        <v>149.03086772191051</v>
      </c>
    </row>
    <row r="1000" spans="1:9" hidden="1" outlineLevel="2">
      <c r="A1000" s="23"/>
      <c r="B1000" s="2"/>
      <c r="C1000" s="2"/>
      <c r="D1000" s="2"/>
      <c r="E1000" s="5" t="str">
        <f>VLOOKUP($D999,PRECIOS_REFERENCIAS!A$3:D$90,3,FALSE)</f>
        <v>INSTALACIÓN DE ANTENA EXTERIOR + KIT</v>
      </c>
      <c r="F1000" s="3"/>
      <c r="G1000" s="2"/>
      <c r="H1000" s="40"/>
      <c r="I1000" s="6"/>
    </row>
    <row r="1001" spans="1:9" hidden="1" outlineLevel="2">
      <c r="A1001" s="24" t="s">
        <v>592</v>
      </c>
      <c r="B1001" s="2" t="s">
        <v>75</v>
      </c>
      <c r="C1001" s="2" t="s">
        <v>16</v>
      </c>
      <c r="D1001" s="2" t="s">
        <v>75</v>
      </c>
      <c r="E1001" s="39" t="str">
        <f>VLOOKUP($D1001,PRECIOS_REFERENCIAS!A$3:D$90,2,FALSE)</f>
        <v>SUMINISTRO SWITCH 5P</v>
      </c>
      <c r="F1001" s="3">
        <v>1</v>
      </c>
      <c r="G1001" s="2" t="s">
        <v>18</v>
      </c>
      <c r="H1001" s="40">
        <f>VLOOKUP($D1001,PRECIOS_REFERENCIAS!A$3:D$90,4,FALSE)</f>
        <v>97.65</v>
      </c>
      <c r="I1001" s="6">
        <f>H1001*F1001</f>
        <v>97.65</v>
      </c>
    </row>
    <row r="1002" spans="1:9" hidden="1" outlineLevel="2">
      <c r="A1002" s="23"/>
      <c r="B1002" s="2"/>
      <c r="C1002" s="38"/>
      <c r="D1002" s="2"/>
      <c r="E1002" s="5" t="str">
        <f>VLOOKUP($D1001,PRECIOS_REFERENCIAS!A$3:D$90,3,FALSE)</f>
        <v>SwitchNOGest_5x100TXRJ45 / MCSESU053FN0</v>
      </c>
      <c r="F1002" s="7"/>
      <c r="G1002" s="7"/>
      <c r="H1002" s="40"/>
      <c r="I1002" s="6"/>
    </row>
    <row r="1003" spans="1:9" hidden="1" outlineLevel="2">
      <c r="A1003" s="24" t="s">
        <v>593</v>
      </c>
      <c r="B1003" s="2" t="s">
        <v>20</v>
      </c>
      <c r="C1003" s="2" t="s">
        <v>21</v>
      </c>
      <c r="D1003" s="2" t="s">
        <v>77</v>
      </c>
      <c r="E1003" s="39" t="str">
        <f>VLOOKUP($D1003,PRECIOS_REFERENCIAS!A$3:D$90,2,FALSE)</f>
        <v>INSTALACION SWITCH</v>
      </c>
      <c r="F1003" s="3">
        <f>F1001</f>
        <v>1</v>
      </c>
      <c r="G1003" s="2" t="s">
        <v>18</v>
      </c>
      <c r="H1003" s="40">
        <f>VLOOKUP($D1003,PRECIOS_REFERENCIAS!A$3:D$90,4,FALSE)</f>
        <v>40</v>
      </c>
      <c r="I1003" s="6">
        <f>H1003*F1003</f>
        <v>40</v>
      </c>
    </row>
    <row r="1004" spans="1:9" hidden="1" outlineLevel="2">
      <c r="A1004" s="23"/>
      <c r="B1004" s="2"/>
      <c r="C1004" s="2"/>
      <c r="D1004" s="2"/>
      <c r="E1004" s="5" t="str">
        <f>VLOOKUP($D1003,PRECIOS_REFERENCIAS!A$3:D$90,3,FALSE)</f>
        <v>INSTALACIÓN DE SWITCH</v>
      </c>
      <c r="F1004" s="3"/>
      <c r="G1004" s="2"/>
      <c r="I1004" s="6"/>
    </row>
    <row r="1005" spans="1:9" hidden="1" outlineLevel="2">
      <c r="A1005" s="24" t="s">
        <v>594</v>
      </c>
      <c r="B1005" s="2" t="s">
        <v>79</v>
      </c>
      <c r="C1005" s="2" t="s">
        <v>80</v>
      </c>
      <c r="D1005" s="2" t="s">
        <v>81</v>
      </c>
      <c r="E1005" s="39" t="str">
        <f>VLOOKUP($D1005,PRECIOS_REFERENCIAS!A$3:D$90,2,FALSE)</f>
        <v>PLANIFICACION</v>
      </c>
      <c r="F1005" s="3">
        <v>1</v>
      </c>
      <c r="G1005" s="2" t="s">
        <v>18</v>
      </c>
      <c r="H1005" s="40">
        <f>VLOOKUP($D1005,PRECIOS_REFERENCIAS!A$3:D$90,4,FALSE)</f>
        <v>40</v>
      </c>
      <c r="I1005" s="6">
        <f>H1005*F1005</f>
        <v>40</v>
      </c>
    </row>
    <row r="1006" spans="1:9" hidden="1" outlineLevel="2">
      <c r="A1006" s="23"/>
      <c r="B1006" s="2"/>
      <c r="C1006" s="2"/>
      <c r="D1006" s="2"/>
      <c r="E1006" s="5" t="str">
        <f>VLOOKUP($D1005,PRECIOS_REFERENCIAS!A$3:D$90,3,FALSE)</f>
        <v>PLANIFICACIÓN DE LOS TRABAJOS Y DESCARGA EN LOCAL DEL PROGRAMA DEL PLC</v>
      </c>
      <c r="F1006" s="3"/>
      <c r="G1006" s="2"/>
      <c r="H1006" s="40"/>
      <c r="I1006" s="6"/>
    </row>
    <row r="1007" spans="1:9" hidden="1" outlineLevel="2">
      <c r="A1007" s="24" t="s">
        <v>595</v>
      </c>
      <c r="B1007" s="2" t="s">
        <v>83</v>
      </c>
      <c r="C1007" s="2" t="s">
        <v>80</v>
      </c>
      <c r="D1007" s="2" t="s">
        <v>80</v>
      </c>
      <c r="E1007" s="39" t="str">
        <f>VLOOKUP($D1007,PRECIOS_REFERENCIAS!A$3:D$90,2,FALSE)</f>
        <v>INGENIERIA + ESQUEMAS</v>
      </c>
      <c r="F1007" s="3">
        <v>1</v>
      </c>
      <c r="G1007" s="2" t="s">
        <v>18</v>
      </c>
      <c r="H1007" s="40">
        <f>VLOOKUP($D1007,PRECIOS_REFERENCIAS!A$3:D$90,4,FALSE)</f>
        <v>300</v>
      </c>
      <c r="I1007" s="6">
        <f>H1007*F1007</f>
        <v>300</v>
      </c>
    </row>
    <row r="1008" spans="1:9" ht="22.5" hidden="1" outlineLevel="2">
      <c r="A1008" s="23"/>
      <c r="B1008" s="2"/>
      <c r="C1008" s="2"/>
      <c r="D1008" s="2"/>
      <c r="E1008" s="5" t="str">
        <f>VLOOKUP($D1007,PRECIOS_REFERENCIAS!A$3:D$90,3,FALSE)</f>
        <v>INGENIERÍA DE ACTUALIZACIÓN DE ESQUEMAS ELÉCTRICOS. INCLUYE LA REVISIÓN LOCAL DE LOS CUADROS Y ELEMENTOS DE CONTROL, ASÍ COMO LA COMPROBACIÓN DE LAS SEÑALES DE CONTROL.</v>
      </c>
      <c r="F1008" s="3"/>
      <c r="G1008" s="2"/>
      <c r="H1008" s="40"/>
      <c r="I1008" s="6"/>
    </row>
    <row r="1009" spans="1:10" hidden="1" outlineLevel="2">
      <c r="A1009" s="24" t="s">
        <v>596</v>
      </c>
      <c r="B1009" s="2" t="s">
        <v>88</v>
      </c>
      <c r="C1009" s="2" t="s">
        <v>80</v>
      </c>
      <c r="D1009" s="2" t="s">
        <v>89</v>
      </c>
      <c r="E1009" s="39" t="str">
        <f>VLOOKUP($D1009,PRECIOS_REFERENCIAS!A$3:D$90,2,FALSE)</f>
        <v>PROGRAMA PLC NUEVO</v>
      </c>
      <c r="F1009" s="3">
        <v>1</v>
      </c>
      <c r="G1009" s="2" t="s">
        <v>18</v>
      </c>
      <c r="H1009" s="40">
        <f>VLOOKUP($D1009,PRECIOS_REFERENCIAS!A$3:D$90,4,FALSE)</f>
        <v>407.75660964439658</v>
      </c>
      <c r="I1009" s="6">
        <f>H1009*F1009</f>
        <v>407.75660964439658</v>
      </c>
    </row>
    <row r="1010" spans="1:10" hidden="1" outlineLevel="2">
      <c r="A1010" s="23"/>
      <c r="B1010" s="2"/>
      <c r="C1010" s="2"/>
      <c r="D1010" s="2"/>
      <c r="E1010" s="5" t="str">
        <f>VLOOKUP($D1009,PRECIOS_REFERENCIAS!A$3:D$90,3,FALSE)</f>
        <v>MIGRACION DEL PROGRAMA ACTUAL A LA NUEVA PLATAFORMA DE PROGRAMACION</v>
      </c>
      <c r="I1010" s="6"/>
    </row>
    <row r="1011" spans="1:10" hidden="1" outlineLevel="2">
      <c r="A1011" s="24" t="s">
        <v>597</v>
      </c>
      <c r="B1011" s="2" t="s">
        <v>227</v>
      </c>
      <c r="C1011" s="2" t="s">
        <v>80</v>
      </c>
      <c r="D1011" s="2" t="s">
        <v>228</v>
      </c>
      <c r="E1011" s="39" t="str">
        <f>VLOOKUP($D1011,PRECIOS_REFERENCIAS!A$3:D$90,2,FALSE)</f>
        <v>PRGRAMA MODBUS REMOTA 1200</v>
      </c>
      <c r="F1011" s="3">
        <v>1</v>
      </c>
      <c r="G1011" s="2" t="s">
        <v>18</v>
      </c>
      <c r="H1011" s="40">
        <f>VLOOKUP($D1011,PRECIOS_REFERENCIAS!A$3:D$90,4,FALSE)</f>
        <v>50</v>
      </c>
      <c r="I1011" s="6">
        <f>H1011*F1011</f>
        <v>50</v>
      </c>
    </row>
    <row r="1012" spans="1:10" hidden="1" outlineLevel="2">
      <c r="A1012" s="23"/>
      <c r="B1012" s="2"/>
      <c r="C1012" s="2"/>
      <c r="D1012" s="2"/>
      <c r="E1012" s="5" t="str">
        <f>VLOOKUP($D1011,PRECIOS_REFERENCIAS!A$3:D$90,3,FALSE)</f>
        <v>PROGRAMACION COMUNICACIÓN MODBUS CON OS CAUDALIMETROS</v>
      </c>
      <c r="I1012" s="6"/>
    </row>
    <row r="1013" spans="1:10" hidden="1" outlineLevel="2">
      <c r="A1013" s="24" t="s">
        <v>598</v>
      </c>
      <c r="B1013" s="2" t="s">
        <v>94</v>
      </c>
      <c r="C1013" s="2" t="s">
        <v>80</v>
      </c>
      <c r="D1013" s="2" t="s">
        <v>95</v>
      </c>
      <c r="E1013" s="39" t="str">
        <f>VLOOKUP($D1013,PRECIOS_REFERENCIAS!A$3:D$90,2,FALSE)</f>
        <v>PEM REMOTA</v>
      </c>
      <c r="F1013" s="3">
        <v>1</v>
      </c>
      <c r="G1013" s="2" t="s">
        <v>18</v>
      </c>
      <c r="H1013" s="40">
        <f>VLOOKUP($D1013,PRECIOS_REFERENCIAS!A$3:D$90,4,FALSE)</f>
        <v>851.7</v>
      </c>
      <c r="I1013" s="6">
        <f>H1013*F1013</f>
        <v>851.7</v>
      </c>
    </row>
    <row r="1014" spans="1:10" hidden="1" outlineLevel="2">
      <c r="A1014" s="23"/>
      <c r="B1014" s="2"/>
      <c r="C1014" s="2"/>
      <c r="D1014" s="2"/>
      <c r="E1014" s="5" t="str">
        <f>VLOOKUP($D1013,PRECIOS_REFERENCIAS!A$3:D$90,3,FALSE)</f>
        <v>PUESTA EN MARCHA DEL PROGRAMA DE CONTROL LOCAL</v>
      </c>
      <c r="F1014" s="3"/>
      <c r="G1014" s="2"/>
      <c r="H1014" s="40"/>
      <c r="I1014" s="6"/>
    </row>
    <row r="1015" spans="1:10" hidden="1" outlineLevel="2">
      <c r="A1015" s="24" t="s">
        <v>599</v>
      </c>
      <c r="B1015" s="2" t="s">
        <v>97</v>
      </c>
      <c r="C1015" s="2" t="s">
        <v>80</v>
      </c>
      <c r="D1015" s="2" t="s">
        <v>98</v>
      </c>
      <c r="E1015" s="39" t="str">
        <f>VLOOKUP($D1015,PRECIOS_REFERENCIAS!A$3:D$90,2,FALSE)</f>
        <v>REVISION SCADA</v>
      </c>
      <c r="F1015" s="3">
        <v>1</v>
      </c>
      <c r="G1015" s="2" t="s">
        <v>18</v>
      </c>
      <c r="H1015" s="40">
        <f>VLOOKUP($D1015,PRECIOS_REFERENCIAS!A$3:D$90,4,FALSE)</f>
        <v>60</v>
      </c>
      <c r="I1015" s="6">
        <f>H1015*F1015</f>
        <v>60</v>
      </c>
    </row>
    <row r="1016" spans="1:10" hidden="1" outlineLevel="2">
      <c r="A1016" s="23"/>
      <c r="B1016" s="2"/>
      <c r="C1016" s="2"/>
      <c r="D1016" s="2"/>
      <c r="E1016" s="5" t="str">
        <f>VLOOKUP($D1015,PRECIOS_REFERENCIAS!A$3:D$90,3,FALSE)</f>
        <v>REVISIÓN DEL PROGRAMA DE SUPERVISIÓN SCADA</v>
      </c>
      <c r="I1016" s="6"/>
    </row>
    <row r="1017" spans="1:10" hidden="1" outlineLevel="2">
      <c r="A1017" s="24"/>
      <c r="B1017" s="2"/>
      <c r="C1017" s="2" t="s">
        <v>16</v>
      </c>
      <c r="D1017" s="2"/>
      <c r="E1017" s="76" t="str">
        <f>CONCATENATE(E956," - TOTAL HARDWARE")</f>
        <v>DEPOSITO AZTIRIA - TOTAL HARDWARE</v>
      </c>
      <c r="F1017" s="74"/>
      <c r="G1017" s="74"/>
      <c r="H1017" s="74"/>
      <c r="I1017" s="75">
        <f>I957+I961+I965+I969+I973+I983+I989+I993+I997+I1001+I967+I975</f>
        <v>3174.9516896359019</v>
      </c>
    </row>
    <row r="1018" spans="1:10" hidden="1" outlineLevel="2">
      <c r="A1018" s="23"/>
      <c r="B1018" s="2"/>
      <c r="C1018" s="2" t="s">
        <v>21</v>
      </c>
      <c r="D1018" s="2"/>
      <c r="E1018" s="76" t="str">
        <f>CONCATENATE(E956," - TOTAL INSTALACION")</f>
        <v>DEPOSITO AZTIRIA - TOTAL INSTALACION</v>
      </c>
      <c r="F1018" s="74"/>
      <c r="G1018" s="74"/>
      <c r="H1018" s="74"/>
      <c r="I1018" s="75">
        <f>I959+I963+I971+I981+I985+I991+I995+I999+I1003+I979+I987+I977</f>
        <v>1369.674014322957</v>
      </c>
    </row>
    <row r="1019" spans="1:10" hidden="1" outlineLevel="2">
      <c r="A1019" s="23"/>
      <c r="B1019" s="2"/>
      <c r="C1019" s="2" t="s">
        <v>80</v>
      </c>
      <c r="D1019" s="2"/>
      <c r="E1019" s="76" t="str">
        <f>CONCATENATE(E956," - TOTAL INGENIERIA")</f>
        <v>DEPOSITO AZTIRIA - TOTAL INGENIERIA</v>
      </c>
      <c r="F1019" s="74"/>
      <c r="G1019" s="74"/>
      <c r="H1019" s="74"/>
      <c r="I1019" s="75">
        <f>I1005+I1007+I1009+I1013+I1015+I1011</f>
        <v>1709.4566096443966</v>
      </c>
      <c r="J1019" s="22">
        <f>SUM(I1017:I1019)</f>
        <v>6254.0823136032559</v>
      </c>
    </row>
    <row r="1020" spans="1:10" hidden="1" outlineLevel="2">
      <c r="E1020" s="41" t="s">
        <v>600</v>
      </c>
      <c r="F1020" s="41"/>
      <c r="G1020" s="41"/>
      <c r="H1020" s="41"/>
      <c r="I1020" s="42">
        <f>SUM(I957:I1016)</f>
        <v>6254.082313603255</v>
      </c>
    </row>
    <row r="1021" spans="1:10" hidden="1" outlineLevel="1">
      <c r="A1021" s="44" t="s">
        <v>601</v>
      </c>
      <c r="B1021" s="44"/>
      <c r="C1021" s="44"/>
      <c r="D1021" s="44"/>
      <c r="E1021" s="43" t="s">
        <v>602</v>
      </c>
      <c r="F1021" s="44"/>
      <c r="G1021" s="44" t="s">
        <v>11</v>
      </c>
      <c r="H1021" s="45"/>
      <c r="I1021" s="64">
        <f>I1089</f>
        <v>6716.4381366895805</v>
      </c>
    </row>
    <row r="1022" spans="1:10" hidden="1" outlineLevel="2">
      <c r="A1022" s="24" t="s">
        <v>603</v>
      </c>
      <c r="B1022" s="2" t="s">
        <v>15</v>
      </c>
      <c r="C1022" s="2" t="s">
        <v>16</v>
      </c>
      <c r="D1022" s="2" t="s">
        <v>15</v>
      </c>
      <c r="E1022" s="39" t="str">
        <f>VLOOKUP($D1022,PRECIOS_REFERENCIAS!A$3:D$90,2,FALSE)</f>
        <v xml:space="preserve">CARRIL DIN </v>
      </c>
      <c r="F1022" s="3">
        <v>1</v>
      </c>
      <c r="G1022" s="2" t="s">
        <v>18</v>
      </c>
      <c r="H1022" s="40">
        <f>VLOOKUP($D1022,PRECIOS_REFERENCIAS!A$3:D$90,4,FALSE)</f>
        <v>2.6481182073295662</v>
      </c>
      <c r="I1022" s="6">
        <f>H1022*F1022</f>
        <v>2.6481182073295662</v>
      </c>
    </row>
    <row r="1023" spans="1:10" hidden="1" outlineLevel="2">
      <c r="A1023" s="23"/>
      <c r="B1023" s="2"/>
      <c r="C1023" s="2"/>
      <c r="D1023" s="2"/>
      <c r="E1023" s="5" t="str">
        <f>VLOOKUP($D1022,PRECIOS_REFERENCIAS!A$3:D$90,3,FALSE)</f>
        <v>CARRIL DIN PARA REMOTA S7-1200</v>
      </c>
      <c r="F1023" s="3"/>
      <c r="G1023" s="2"/>
      <c r="H1023" s="40"/>
      <c r="I1023" s="6"/>
    </row>
    <row r="1024" spans="1:10" hidden="1" outlineLevel="2">
      <c r="A1024" s="24" t="s">
        <v>604</v>
      </c>
      <c r="B1024" s="2" t="s">
        <v>20</v>
      </c>
      <c r="C1024" s="2" t="s">
        <v>21</v>
      </c>
      <c r="D1024" s="2" t="s">
        <v>22</v>
      </c>
      <c r="E1024" s="39" t="str">
        <f>VLOOKUP($D1024,PRECIOS_REFERENCIAS!A$3:D$90,2,FALSE)</f>
        <v xml:space="preserve">INSTALACION CARRIL DIN </v>
      </c>
      <c r="F1024" s="3">
        <v>1</v>
      </c>
      <c r="G1024" s="2" t="s">
        <v>18</v>
      </c>
      <c r="H1024" s="40">
        <f>VLOOKUP($D1024,PRECIOS_REFERENCIAS!A$3:D$90,4,FALSE)</f>
        <v>35.402252939916011</v>
      </c>
      <c r="I1024" s="6">
        <f>H1024*F1024</f>
        <v>35.402252939916011</v>
      </c>
    </row>
    <row r="1025" spans="1:9" hidden="1" outlineLevel="2">
      <c r="A1025" s="23"/>
      <c r="B1025" s="2"/>
      <c r="C1025" s="2"/>
      <c r="D1025" s="2"/>
      <c r="E1025" s="5" t="str">
        <f>VLOOKUP($D1024,PRECIOS_REFERENCIAS!A$3:D$90,3,FALSE)</f>
        <v>SUSTITUCIÓN DE PERFIL SOPORTE DE PLC EXISTENTE POR NUEVO PERFIL DE PLC DEFINIDO, DENTRO DEL ARMARIO ELÉCTRICO ACTUAL.</v>
      </c>
      <c r="F1025" s="3"/>
      <c r="G1025" s="2"/>
      <c r="H1025" s="40"/>
      <c r="I1025" s="6"/>
    </row>
    <row r="1026" spans="1:9" hidden="1" outlineLevel="2">
      <c r="A1026" s="24" t="s">
        <v>605</v>
      </c>
      <c r="B1026" s="2" t="s">
        <v>104</v>
      </c>
      <c r="C1026" s="2" t="s">
        <v>16</v>
      </c>
      <c r="D1026" s="2" t="s">
        <v>104</v>
      </c>
      <c r="E1026" s="39" t="str">
        <f>VLOOKUP($D1026,PRECIOS_REFERENCIAS!A$3:D$48,2,FALSE)</f>
        <v>SUMINISTRO DE CPU REMOTAS</v>
      </c>
      <c r="F1026" s="3">
        <v>1</v>
      </c>
      <c r="G1026" s="2" t="s">
        <v>18</v>
      </c>
      <c r="H1026" s="40">
        <f>VLOOKUP($D1026,PRECIOS_REFERENCIAS!A$3:D$48,4,FALSE)</f>
        <v>416.28749999999997</v>
      </c>
      <c r="I1026" s="6">
        <f>H1026*F1026</f>
        <v>416.28749999999997</v>
      </c>
    </row>
    <row r="1027" spans="1:9" hidden="1" outlineLevel="2">
      <c r="A1027" s="23"/>
      <c r="B1027" s="38"/>
      <c r="C1027" s="38"/>
      <c r="D1027" s="38"/>
      <c r="E1027" s="5" t="str">
        <f>VLOOKUP($D1026,PRECIOS_REFERENCIAS!A$3:D$48,3,FALSE)</f>
        <v>SIMATIC S7-1200 - CPU 1214C //6ES7214-1AG40-0XB0</v>
      </c>
      <c r="F1027" s="7"/>
      <c r="G1027" s="7"/>
      <c r="I1027" s="6"/>
    </row>
    <row r="1028" spans="1:9" hidden="1" outlineLevel="2">
      <c r="A1028" s="24" t="s">
        <v>606</v>
      </c>
      <c r="B1028" s="2" t="s">
        <v>20</v>
      </c>
      <c r="C1028" s="2" t="s">
        <v>21</v>
      </c>
      <c r="D1028" s="2" t="s">
        <v>28</v>
      </c>
      <c r="E1028" s="39" t="str">
        <f>VLOOKUP($D1028,PRECIOS_REFERENCIAS!A$3:D$90,2,FALSE)</f>
        <v>INSTALACION CPU</v>
      </c>
      <c r="F1028" s="3">
        <v>1</v>
      </c>
      <c r="G1028" s="2" t="s">
        <v>18</v>
      </c>
      <c r="H1028" s="40">
        <f>VLOOKUP($D1028,PRECIOS_REFERENCIAS!A$3:D$90,4,FALSE)</f>
        <v>123.90076030798227</v>
      </c>
      <c r="I1028" s="6">
        <f>H1028*F1028</f>
        <v>123.90076030798227</v>
      </c>
    </row>
    <row r="1029" spans="1:9" hidden="1" outlineLevel="2">
      <c r="A1029" s="23"/>
      <c r="B1029" s="2"/>
      <c r="C1029" s="2"/>
      <c r="D1029" s="2"/>
      <c r="E1029" s="5" t="str">
        <f>VLOOKUP($D1028,PRECIOS_REFERENCIAS!A$3:D$90,3,FALSE)</f>
        <v>SUSTITUCIÓN DE CPU DE PLC EXISTENTE POR NUEVA CPU DE PLC DEFINIDA</v>
      </c>
      <c r="F1029" s="3"/>
      <c r="G1029" s="2"/>
      <c r="H1029" s="40"/>
      <c r="I1029" s="6"/>
    </row>
    <row r="1030" spans="1:9" hidden="1" outlineLevel="2">
      <c r="A1030" s="24" t="s">
        <v>607</v>
      </c>
      <c r="B1030" s="2" t="s">
        <v>153</v>
      </c>
      <c r="C1030" s="2" t="s">
        <v>16</v>
      </c>
      <c r="D1030" s="2" t="s">
        <v>153</v>
      </c>
      <c r="E1030" s="39" t="str">
        <f>VLOOKUP($D1030,PRECIOS_REFERENCIAS!A$3:D$48,2,FALSE)</f>
        <v>SUMINISTRO DE FUENTE ALIMENTACIÓN CPU REMOTAS</v>
      </c>
      <c r="F1030" s="3">
        <v>1</v>
      </c>
      <c r="G1030" s="2" t="s">
        <v>18</v>
      </c>
      <c r="H1030" s="40">
        <f>VLOOKUP($D1030,PRECIOS_REFERENCIAS!A$3:D$48,4,FALSE)</f>
        <v>180.01500000000001</v>
      </c>
      <c r="I1030" s="6">
        <f>H1030*F1030</f>
        <v>180.01500000000001</v>
      </c>
    </row>
    <row r="1031" spans="1:9" hidden="1" outlineLevel="2">
      <c r="A1031" s="23"/>
      <c r="B1031" s="7"/>
      <c r="C1031" s="7"/>
      <c r="D1031" s="7"/>
      <c r="E1031" s="5" t="str">
        <f>VLOOKUP($D1030,PRECIOS_REFERENCIAS!A$3:D$48,3,FALSE)</f>
        <v>SITOP PSU6200 24 V/10 A // 6EP3334-7SB00-3AX0    </v>
      </c>
      <c r="F1031" s="7"/>
      <c r="G1031" s="7"/>
      <c r="I1031" s="6"/>
    </row>
    <row r="1032" spans="1:9" hidden="1" outlineLevel="2">
      <c r="A1032" s="24" t="s">
        <v>608</v>
      </c>
      <c r="B1032" s="2" t="s">
        <v>155</v>
      </c>
      <c r="C1032" s="2" t="s">
        <v>16</v>
      </c>
      <c r="D1032" s="2" t="s">
        <v>156</v>
      </c>
      <c r="E1032" s="39" t="str">
        <f>VLOOKUP($D1032,PRECIOS_REFERENCIAS!A$3:D$98,2,FALSE)</f>
        <v>TARJETA DE MEMORIA S7-1200</v>
      </c>
      <c r="F1032" s="3">
        <v>1</v>
      </c>
      <c r="G1032" s="2" t="s">
        <v>18</v>
      </c>
      <c r="H1032" s="40">
        <f>VLOOKUP($D1032,PRECIOS_REFERENCIAS!A$3:D$100,4,FALSE)</f>
        <v>263.13750000000005</v>
      </c>
      <c r="I1032" s="6">
        <f>H1032*F1032</f>
        <v>263.13750000000005</v>
      </c>
    </row>
    <row r="1033" spans="1:9" hidden="1" outlineLevel="2">
      <c r="A1033" s="23"/>
      <c r="B1033" s="7"/>
      <c r="C1033" s="7"/>
      <c r="D1033" s="7"/>
      <c r="E1033" s="5" t="str">
        <f>VLOOKUP($D1032,PRECIOS_REFERENCIAS!A$3:D$98,3,FALSE)</f>
        <v>SIMATIC S7 Memory Card, 24 MB //6ES7954-8LF03-0AA0</v>
      </c>
      <c r="F1033" s="7"/>
      <c r="G1033" s="7"/>
      <c r="I1033" s="6"/>
    </row>
    <row r="1034" spans="1:9" hidden="1" outlineLevel="2">
      <c r="A1034" s="24" t="s">
        <v>609</v>
      </c>
      <c r="B1034" s="2" t="s">
        <v>158</v>
      </c>
      <c r="C1034" s="2" t="s">
        <v>16</v>
      </c>
      <c r="D1034" s="2" t="s">
        <v>159</v>
      </c>
      <c r="E1034" s="39" t="str">
        <f>VLOOKUP($D1034,PRECIOS_REFERENCIAS!A$3:D$90,2,FALSE)</f>
        <v>TARJETA COMUNICACIONES  S7-1200</v>
      </c>
      <c r="F1034" s="3">
        <v>1</v>
      </c>
      <c r="G1034" s="2" t="s">
        <v>18</v>
      </c>
      <c r="H1034" s="40">
        <f>VLOOKUP($D1034,PRECIOS_REFERENCIAS!A$3:D$90,4,FALSE)</f>
        <v>518.66999999999996</v>
      </c>
      <c r="I1034" s="6">
        <f>H1034*F1034</f>
        <v>518.66999999999996</v>
      </c>
    </row>
    <row r="1035" spans="1:9" hidden="1" outlineLevel="2">
      <c r="A1035" s="23"/>
      <c r="B1035" s="2"/>
      <c r="C1035" s="38"/>
      <c r="D1035" s="2"/>
      <c r="E1035" s="5" t="str">
        <f>VLOOKUP($D1034,PRECIOS_REFERENCIAS!A$3:D$90,3,FALSE)</f>
        <v>SIMATIC S7-1200  Modulo Ethernet CP 1243-1  //6GK7243-1BX30-0XE0</v>
      </c>
      <c r="F1035" s="3"/>
      <c r="G1035" s="2"/>
      <c r="H1035" s="40"/>
      <c r="I1035" s="6"/>
    </row>
    <row r="1036" spans="1:9" hidden="1" outlineLevel="2">
      <c r="A1036" s="24" t="s">
        <v>610</v>
      </c>
      <c r="B1036" s="2" t="s">
        <v>20</v>
      </c>
      <c r="C1036" s="2" t="s">
        <v>21</v>
      </c>
      <c r="D1036" s="2" t="s">
        <v>161</v>
      </c>
      <c r="E1036" s="39" t="str">
        <f>VLOOKUP($D1036,PRECIOS_REFERENCIAS!A$3:D$90,2,FALSE)</f>
        <v>INSTALACION COM ADICIONAL</v>
      </c>
      <c r="F1036" s="3">
        <v>1</v>
      </c>
      <c r="G1036" s="2" t="s">
        <v>18</v>
      </c>
      <c r="H1036" s="40">
        <f>VLOOKUP($D1036,PRECIOS_REFERENCIAS!A$3:D$90,4,FALSE)</f>
        <v>40</v>
      </c>
      <c r="I1036" s="6">
        <f>H1036*F1036</f>
        <v>40</v>
      </c>
    </row>
    <row r="1037" spans="1:9" hidden="1" outlineLevel="2">
      <c r="A1037" s="23"/>
      <c r="B1037" s="7"/>
      <c r="C1037" s="7"/>
      <c r="D1037" s="7"/>
      <c r="E1037" s="5" t="str">
        <f>VLOOKUP($D1036,PRECIOS_REFERENCIAS!A$3:D$90,3,FALSE)</f>
        <v xml:space="preserve">INSTALACION TARJETA COMUNICACIONES ADICIONAL </v>
      </c>
      <c r="F1037" s="7"/>
      <c r="G1037" s="7"/>
      <c r="I1037" s="6"/>
    </row>
    <row r="1038" spans="1:9" hidden="1" outlineLevel="2">
      <c r="A1038" s="24" t="s">
        <v>611</v>
      </c>
      <c r="B1038" s="2" t="s">
        <v>196</v>
      </c>
      <c r="C1038" s="2" t="s">
        <v>16</v>
      </c>
      <c r="D1038" s="2" t="s">
        <v>197</v>
      </c>
      <c r="E1038" s="39" t="str">
        <f>VLOOKUP($D1038,PRECIOS_REFERENCIAS!A$3:D$48,2,FALSE)</f>
        <v>TARJETA COMUNICACIÓN RS485 S7-1200</v>
      </c>
      <c r="F1038" s="3">
        <v>1</v>
      </c>
      <c r="G1038" s="2" t="s">
        <v>18</v>
      </c>
      <c r="H1038" s="40">
        <f>VLOOKUP($D1038,PRECIOS_REFERENCIAS!A$3:D$48,4,FALSE)</f>
        <v>130.19999999999999</v>
      </c>
      <c r="I1038" s="6">
        <f>H1038*F1038</f>
        <v>130.19999999999999</v>
      </c>
    </row>
    <row r="1039" spans="1:9" hidden="1" outlineLevel="2">
      <c r="A1039" s="23"/>
      <c r="B1039" s="7"/>
      <c r="C1039" s="38"/>
      <c r="D1039" s="7"/>
      <c r="E1039" s="5" t="str">
        <f>VLOOKUP($D1038,PRECIOS_REFERENCIAS!A$3:D$48,3,FALSE)</f>
        <v>Modul de comunic. CM 1241, RS422/485  //6ES7241-1CH32-0XB0</v>
      </c>
      <c r="F1039" s="7"/>
      <c r="G1039" s="7"/>
      <c r="I1039" s="6"/>
    </row>
    <row r="1040" spans="1:9" hidden="1" outlineLevel="2">
      <c r="A1040" s="24" t="s">
        <v>612</v>
      </c>
      <c r="B1040" s="2" t="s">
        <v>20</v>
      </c>
      <c r="C1040" s="2" t="s">
        <v>21</v>
      </c>
      <c r="D1040" s="2" t="s">
        <v>199</v>
      </c>
      <c r="E1040" s="39" t="str">
        <f>VLOOKUP($D1040,PRECIOS_REFERENCIAS!A$3:D$90,2,FALSE)</f>
        <v>INSTALACION CABLEADO MODBUS CAUDALIMETRO</v>
      </c>
      <c r="F1040" s="3">
        <v>1</v>
      </c>
      <c r="G1040" s="2" t="s">
        <v>18</v>
      </c>
      <c r="H1040" s="40">
        <f>VLOOKUP($D1040,PRECIOS_REFERENCIAS!A$3:D$90,4,FALSE)</f>
        <v>40</v>
      </c>
      <c r="I1040" s="6">
        <f>H1040*F1040</f>
        <v>40</v>
      </c>
    </row>
    <row r="1041" spans="1:9" hidden="1" outlineLevel="2">
      <c r="A1041" s="23"/>
      <c r="B1041" s="2"/>
      <c r="C1041" s="2"/>
      <c r="D1041" s="2"/>
      <c r="E1041" s="5" t="str">
        <f>VLOOKUP($D1040,PRECIOS_REFERENCIAS!A$3:D$90,3,FALSE)</f>
        <v>INSTALACIÓN DEL CABLEADO MODUS PARA CADA CAUDALIMETRO CON COMUNICACIÓN MODBUS</v>
      </c>
      <c r="F1041" s="3"/>
      <c r="G1041" s="2"/>
      <c r="H1041" s="40"/>
      <c r="I1041" s="6"/>
    </row>
    <row r="1042" spans="1:9" hidden="1" outlineLevel="2">
      <c r="A1042" s="24" t="s">
        <v>613</v>
      </c>
      <c r="B1042" s="2" t="s">
        <v>201</v>
      </c>
      <c r="C1042" s="2" t="s">
        <v>16</v>
      </c>
      <c r="D1042" s="2" t="s">
        <v>202</v>
      </c>
      <c r="E1042" s="39" t="str">
        <f>VLOOKUP($D1042,PRECIOS_REFERENCIAS!A$3:D$48,2,FALSE)</f>
        <v>TARJETA COMUNICACIÓN MODBUS CAUDALIMETRO</v>
      </c>
      <c r="F1042" s="3">
        <f>F1040</f>
        <v>1</v>
      </c>
      <c r="G1042" s="2" t="s">
        <v>18</v>
      </c>
      <c r="H1042" s="40">
        <f>VLOOKUP($D1042,PRECIOS_REFERENCIAS!A$3:D$48,4,FALSE)</f>
        <v>183.48750000000001</v>
      </c>
      <c r="I1042" s="6">
        <f>H1042*F1042</f>
        <v>183.48750000000001</v>
      </c>
    </row>
    <row r="1043" spans="1:9" hidden="1" outlineLevel="2">
      <c r="A1043" s="23"/>
      <c r="B1043" s="7"/>
      <c r="C1043" s="38"/>
      <c r="D1043" s="7"/>
      <c r="E1043" s="5" t="str">
        <f>VLOOKUP($D1042,PRECIOS_REFERENCIAS!A$3:D$48,3,FALSE)</f>
        <v>TARJETA MODBUS RTU/RS485 para caudalímetro MAG 6000 // FDK:085U0234</v>
      </c>
      <c r="F1043" s="7"/>
      <c r="G1043" s="7"/>
      <c r="I1043" s="6"/>
    </row>
    <row r="1044" spans="1:9" hidden="1" outlineLevel="2">
      <c r="A1044" s="24" t="s">
        <v>614</v>
      </c>
      <c r="B1044" s="2" t="s">
        <v>20</v>
      </c>
      <c r="C1044" s="2" t="s">
        <v>21</v>
      </c>
      <c r="D1044" s="2" t="s">
        <v>204</v>
      </c>
      <c r="E1044" s="39" t="str">
        <f>VLOOKUP($D1044,PRECIOS_REFERENCIAS!A$3:D$90,2,FALSE)</f>
        <v>INSTALACION TARJETA MODBUS CAUDALIMETRO</v>
      </c>
      <c r="F1044" s="3">
        <f>F1042</f>
        <v>1</v>
      </c>
      <c r="G1044" s="2" t="s">
        <v>18</v>
      </c>
      <c r="H1044" s="40">
        <f>VLOOKUP($D1044,PRECIOS_REFERENCIAS!A$3:D$90,4,FALSE)</f>
        <v>40</v>
      </c>
      <c r="I1044" s="6">
        <f>H1044*F1044</f>
        <v>40</v>
      </c>
    </row>
    <row r="1045" spans="1:9" hidden="1" outlineLevel="2">
      <c r="A1045" s="23"/>
      <c r="B1045" s="2"/>
      <c r="C1045" s="2"/>
      <c r="D1045" s="2"/>
      <c r="E1045" s="5" t="str">
        <f>VLOOKUP($D1044,PRECIOS_REFERENCIAS!A$3:D$90,3,FALSE)</f>
        <v>INSTALACIÓN DE LA TARJETA DE MODBUS EN EL CAUDALIMETRO</v>
      </c>
      <c r="F1045" s="3"/>
      <c r="G1045" s="2"/>
      <c r="H1045" s="40"/>
      <c r="I1045" s="6"/>
    </row>
    <row r="1046" spans="1:9" hidden="1" outlineLevel="2">
      <c r="A1046" s="24" t="s">
        <v>615</v>
      </c>
      <c r="B1046" s="2" t="s">
        <v>108</v>
      </c>
      <c r="C1046" s="2" t="s">
        <v>16</v>
      </c>
      <c r="D1046" s="2" t="s">
        <v>108</v>
      </c>
      <c r="E1046" s="39" t="str">
        <f>VLOOKUP($D1046,PRECIOS_REFERENCIAS!A$3:D$48,2,FALSE)</f>
        <v>SUMINISTRO MÓDULO DE 16 ENTRADAS DIGITALES</v>
      </c>
      <c r="F1046" s="3">
        <v>1</v>
      </c>
      <c r="G1046" s="2" t="s">
        <v>18</v>
      </c>
      <c r="H1046" s="40">
        <f>VLOOKUP($D1046,PRECIOS_REFERENCIAS!A$3:D$48,4,FALSE)</f>
        <v>177.54749999999999</v>
      </c>
      <c r="I1046" s="6">
        <f>H1046*F1046</f>
        <v>177.54749999999999</v>
      </c>
    </row>
    <row r="1047" spans="1:9" hidden="1" outlineLevel="2">
      <c r="A1047" s="23"/>
      <c r="B1047" s="7"/>
      <c r="C1047" s="38"/>
      <c r="D1047" s="7"/>
      <c r="E1047" s="5" t="str">
        <f>VLOOKUP($D1046,PRECIOS_REFERENCIAS!A$3:D$48,3,FALSE)</f>
        <v xml:space="preserve">SIMATIC S7-1200,  Módulo SM1221 //6ES7221-1BH32-0XB0 </v>
      </c>
      <c r="F1047" s="7"/>
      <c r="G1047" s="7"/>
      <c r="I1047" s="6"/>
    </row>
    <row r="1048" spans="1:9" hidden="1" outlineLevel="2">
      <c r="A1048" s="24" t="s">
        <v>616</v>
      </c>
      <c r="B1048" s="2" t="s">
        <v>20</v>
      </c>
      <c r="C1048" s="2" t="s">
        <v>21</v>
      </c>
      <c r="D1048" s="2" t="s">
        <v>35</v>
      </c>
      <c r="E1048" s="39" t="str">
        <f>VLOOKUP($D1048,PRECIOS_REFERENCIAS!A$3:D$90,2,FALSE)</f>
        <v>INSTALACION ED</v>
      </c>
      <c r="F1048" s="3">
        <v>2</v>
      </c>
      <c r="G1048" s="2" t="s">
        <v>18</v>
      </c>
      <c r="H1048" s="40">
        <f>VLOOKUP($D1048,PRECIOS_REFERENCIAS!A$3:D$90,4,FALSE)</f>
        <v>161.97310014887609</v>
      </c>
      <c r="I1048" s="6">
        <f>H1048*F1048</f>
        <v>323.94620029775217</v>
      </c>
    </row>
    <row r="1049" spans="1:9" hidden="1" outlineLevel="2">
      <c r="A1049" s="23"/>
      <c r="B1049" s="2"/>
      <c r="C1049" s="2"/>
      <c r="D1049" s="2"/>
      <c r="E1049" s="5" t="str">
        <f>VLOOKUP($D1048,PRECIOS_REFERENCIAS!A$3:D$90,3,FALSE)</f>
        <v>SUSTITUCIÓN DE MÓDULO DE E/S DIGITALES DE PLC EXISTENTE POR NUEVO MÓDULO DE PLC DEFINIDO. ENTRADA DIGITAL 16</v>
      </c>
      <c r="F1049" s="3"/>
      <c r="G1049" s="2"/>
      <c r="H1049" s="40"/>
      <c r="I1049" s="6"/>
    </row>
    <row r="1050" spans="1:9" hidden="1" outlineLevel="2">
      <c r="A1050" s="24" t="s">
        <v>617</v>
      </c>
      <c r="B1050" s="2" t="s">
        <v>20</v>
      </c>
      <c r="C1050" s="2" t="s">
        <v>21</v>
      </c>
      <c r="D1050" s="2" t="s">
        <v>41</v>
      </c>
      <c r="E1050" s="39" t="str">
        <f>VLOOKUP($D1050,PRECIOS_REFERENCIAS!A$3:D$90,2,FALSE)</f>
        <v>INSTALACION SD</v>
      </c>
      <c r="F1050" s="3">
        <v>1</v>
      </c>
      <c r="G1050" s="2" t="s">
        <v>18</v>
      </c>
      <c r="H1050" s="40">
        <f>VLOOKUP($D1050,PRECIOS_REFERENCIAS!A$3:D$90,4,FALSE)</f>
        <v>162.83522293745065</v>
      </c>
      <c r="I1050" s="6">
        <f>H1050*F1050</f>
        <v>162.83522293745065</v>
      </c>
    </row>
    <row r="1051" spans="1:9" hidden="1" outlineLevel="2">
      <c r="A1051" s="23"/>
      <c r="B1051" s="2"/>
      <c r="C1051" s="2"/>
      <c r="D1051" s="2"/>
      <c r="E1051" s="5" t="str">
        <f>VLOOKUP($D1050,PRECIOS_REFERENCIAS!A$3:D$90,3,FALSE)</f>
        <v>SUSTITUCIÓN DE MÓDULO DE E/S DIGITALES DE PLC EXISTENTE POR NUEVO MÓDULO DE PLC DEFINIDO. SALIDA DIGITAL 16</v>
      </c>
      <c r="F1051" s="3"/>
      <c r="G1051" s="2"/>
      <c r="H1051" s="40"/>
      <c r="I1051" s="6"/>
    </row>
    <row r="1052" spans="1:9" hidden="1" outlineLevel="2">
      <c r="A1052" s="24" t="s">
        <v>618</v>
      </c>
      <c r="B1052" s="2" t="s">
        <v>114</v>
      </c>
      <c r="C1052" s="2" t="s">
        <v>16</v>
      </c>
      <c r="D1052" s="2" t="s">
        <v>114</v>
      </c>
      <c r="E1052" s="39" t="str">
        <f>VLOOKUP($D1052,PRECIOS_REFERENCIAS!A$3:D$48,2,FALSE)</f>
        <v>SUMINISTRO MÓDULO DE 8 ENTRADAS ANALÓGICAS</v>
      </c>
      <c r="F1052" s="3">
        <v>1</v>
      </c>
      <c r="G1052" s="2" t="s">
        <v>18</v>
      </c>
      <c r="H1052" s="40">
        <f>VLOOKUP($D1052,PRECIOS_REFERENCIAS!A$3:D$48,4,FALSE)</f>
        <v>372.39749999999998</v>
      </c>
      <c r="I1052" s="6">
        <f>H1052*F1052</f>
        <v>372.39749999999998</v>
      </c>
    </row>
    <row r="1053" spans="1:9" hidden="1" outlineLevel="2">
      <c r="A1053" s="23"/>
      <c r="B1053" s="7"/>
      <c r="C1053" s="38"/>
      <c r="D1053" s="7"/>
      <c r="E1053" s="5" t="str">
        <f>VLOOKUP($D1052,PRECIOS_REFERENCIAS!A$3:D$48,3,FALSE)</f>
        <v xml:space="preserve">SIMATIC S7-1200,  Módulo de Entradas analógicas, SM 1231, 8 EA //6ES7231-4HF32-0XB0 </v>
      </c>
      <c r="F1053" s="7"/>
      <c r="G1053" s="7"/>
      <c r="I1053" s="6"/>
    </row>
    <row r="1054" spans="1:9" hidden="1" outlineLevel="2">
      <c r="A1054" s="24" t="s">
        <v>619</v>
      </c>
      <c r="B1054" s="2" t="s">
        <v>20</v>
      </c>
      <c r="C1054" s="2" t="s">
        <v>21</v>
      </c>
      <c r="D1054" s="2" t="s">
        <v>46</v>
      </c>
      <c r="E1054" s="39" t="str">
        <f>VLOOKUP($D1054,PRECIOS_REFERENCIAS!A$3:D$90,2,FALSE)</f>
        <v>INSTALACION EA</v>
      </c>
      <c r="F1054" s="3">
        <v>2</v>
      </c>
      <c r="G1054" s="2" t="s">
        <v>18</v>
      </c>
      <c r="H1054" s="40">
        <f>VLOOKUP($D1054,PRECIOS_REFERENCIAS!A$3:D$90,4,FALSE)</f>
        <v>237.18351660213608</v>
      </c>
      <c r="I1054" s="6">
        <f>H1054*F1054</f>
        <v>474.36703320427216</v>
      </c>
    </row>
    <row r="1055" spans="1:9" hidden="1" outlineLevel="2">
      <c r="A1055" s="23"/>
      <c r="B1055" s="2"/>
      <c r="C1055" s="2"/>
      <c r="D1055" s="2"/>
      <c r="E1055" s="5" t="str">
        <f>VLOOKUP($D1054,PRECIOS_REFERENCIAS!A$3:D$90,3,FALSE)</f>
        <v>SUSTITUCIÓN DE MÓDULO DE E/S ANALÓGICAS DE PLC EXISTENTE POR NUEVO MÓDULO DE PLC DEFINIDO. ENTRADA ANALÓGICAS 8</v>
      </c>
      <c r="F1055" s="3"/>
      <c r="G1055" s="2"/>
      <c r="H1055" s="40"/>
      <c r="I1055" s="6"/>
    </row>
    <row r="1056" spans="1:9" hidden="1" outlineLevel="2">
      <c r="A1056" s="24" t="s">
        <v>620</v>
      </c>
      <c r="B1056" s="2" t="s">
        <v>20</v>
      </c>
      <c r="C1056" s="2" t="s">
        <v>21</v>
      </c>
      <c r="D1056" s="2" t="s">
        <v>208</v>
      </c>
      <c r="E1056" s="39" t="str">
        <f>VLOOKUP($D1056,PRECIOS_REFERENCIAS!A$3:D$90,2,FALSE)</f>
        <v>RETIRADA CABLE CAUDAL SEÑAL ANALOGICA</v>
      </c>
      <c r="F1056" s="3">
        <v>2</v>
      </c>
      <c r="G1056" s="2" t="s">
        <v>18</v>
      </c>
      <c r="H1056" s="40">
        <f>VLOOKUP($D1056,PRECIOS_REFERENCIAS!A$3:D$90,4,FALSE)</f>
        <v>30</v>
      </c>
      <c r="I1056" s="6">
        <f>H1056*F1056</f>
        <v>60</v>
      </c>
    </row>
    <row r="1057" spans="1:9" hidden="1" outlineLevel="2">
      <c r="A1057" s="23"/>
      <c r="B1057" s="2"/>
      <c r="C1057" s="2"/>
      <c r="D1057" s="2"/>
      <c r="E1057" s="5" t="str">
        <f>VLOOKUP($D1056,PRECIOS_REFERENCIAS!A$3:D$90,3,FALSE)</f>
        <v>RETIRADA DEL CABLE ANALOGICO DEL CAUDALIMETRO POR LA COMUNICACIÓN ACTUAL MODBUS</v>
      </c>
      <c r="F1057" s="3"/>
      <c r="G1057" s="2"/>
      <c r="H1057" s="40"/>
      <c r="I1057" s="6"/>
    </row>
    <row r="1058" spans="1:9" hidden="1" outlineLevel="2">
      <c r="A1058" s="24" t="s">
        <v>621</v>
      </c>
      <c r="B1058" s="2" t="s">
        <v>210</v>
      </c>
      <c r="C1058" s="2" t="s">
        <v>16</v>
      </c>
      <c r="D1058" s="2" t="s">
        <v>210</v>
      </c>
      <c r="E1058" s="39" t="str">
        <f>VLOOKUP($D1058,PRECIOS_REFERENCIAS!A$3:D$48,2,FALSE)</f>
        <v>HMI LOCAL 4" ETHERNET Y COLOR</v>
      </c>
      <c r="F1058" s="3">
        <v>1</v>
      </c>
      <c r="G1058" s="2" t="s">
        <v>18</v>
      </c>
      <c r="H1058" s="40">
        <f>VLOOKUP($D1058,PRECIOS_REFERENCIAS!A$3:D$48,4,FALSE)</f>
        <v>297.52999999999997</v>
      </c>
      <c r="I1058" s="6">
        <f>H1058*F1058</f>
        <v>297.52999999999997</v>
      </c>
    </row>
    <row r="1059" spans="1:9" hidden="1" outlineLevel="2">
      <c r="A1059" s="23"/>
      <c r="B1059" s="2"/>
      <c r="C1059" s="38"/>
      <c r="D1059" s="2"/>
      <c r="E1059" s="5" t="str">
        <f>VLOOKUP($D1058,PRECIOS_REFERENCIAS!A$3:D$48,3,FALSE)</f>
        <v>SIMATIC HMI, KTP400 Basic, Basic Panel, Manejo con teclado/táctil, pantalla TFT de 4", 65536 colores // 6AV2123-2GB03-0AX0</v>
      </c>
      <c r="F1059" s="7"/>
      <c r="G1059" s="7"/>
      <c r="I1059" s="6"/>
    </row>
    <row r="1060" spans="1:9" hidden="1" outlineLevel="2">
      <c r="A1060" s="24" t="s">
        <v>622</v>
      </c>
      <c r="B1060" s="2" t="s">
        <v>20</v>
      </c>
      <c r="C1060" s="2" t="s">
        <v>21</v>
      </c>
      <c r="D1060" s="2" t="s">
        <v>56</v>
      </c>
      <c r="E1060" s="39" t="str">
        <f>VLOOKUP($D1060,PRECIOS_REFERENCIAS!A$3:D$90,2,FALSE)</f>
        <v>INSTALACION HMI</v>
      </c>
      <c r="F1060" s="3">
        <f>F1058</f>
        <v>1</v>
      </c>
      <c r="G1060" s="2" t="s">
        <v>18</v>
      </c>
      <c r="H1060" s="40">
        <f>VLOOKUP($D1060,PRECIOS_REFERENCIAS!A$3:D$90,4,FALSE)</f>
        <v>125</v>
      </c>
      <c r="I1060" s="6">
        <f>H1060*F1060</f>
        <v>125</v>
      </c>
    </row>
    <row r="1061" spans="1:9" hidden="1" outlineLevel="2">
      <c r="A1061" s="23"/>
      <c r="B1061" s="2"/>
      <c r="C1061" s="2"/>
      <c r="D1061" s="2"/>
      <c r="E1061" s="5" t="str">
        <f>VLOOKUP($D1060,PRECIOS_REFERENCIAS!A$3:D$90,3,FALSE)</f>
        <v>INSTALACIÓN DE PANTALLA HMI</v>
      </c>
      <c r="F1061" s="3"/>
      <c r="G1061" s="2"/>
      <c r="H1061" s="40"/>
      <c r="I1061" s="6"/>
    </row>
    <row r="1062" spans="1:9" hidden="1" outlineLevel="2">
      <c r="A1062" s="24" t="s">
        <v>623</v>
      </c>
      <c r="B1062" s="2" t="s">
        <v>67</v>
      </c>
      <c r="C1062" s="2" t="s">
        <v>16</v>
      </c>
      <c r="D1062" s="2" t="s">
        <v>67</v>
      </c>
      <c r="E1062" s="39" t="str">
        <f>VLOOKUP($D1062,PRECIOS_REFERENCIAS!A$3:D$48,2,FALSE)</f>
        <v>ROUTER VPN 4G</v>
      </c>
      <c r="F1062" s="3">
        <v>1</v>
      </c>
      <c r="G1062" s="2" t="s">
        <v>18</v>
      </c>
      <c r="H1062" s="40">
        <f>VLOOKUP($D1062,PRECIOS_REFERENCIAS!A$3:D$48,4,FALSE)</f>
        <v>560.25</v>
      </c>
      <c r="I1062" s="6">
        <f>H1062*F1062</f>
        <v>560.25</v>
      </c>
    </row>
    <row r="1063" spans="1:9" hidden="1" outlineLevel="2">
      <c r="A1063" s="23"/>
      <c r="B1063" s="2"/>
      <c r="C1063" s="38"/>
      <c r="D1063" s="2"/>
      <c r="E1063" s="5" t="str">
        <f>VLOOKUP($D1062,PRECIOS_REFERENCIAS!A$3:D$48,3,FALSE)</f>
        <v>ROUTER IPL-C-100-LW O SIMILAR</v>
      </c>
      <c r="F1063" s="7"/>
      <c r="G1063" s="7"/>
      <c r="I1063" s="6"/>
    </row>
    <row r="1064" spans="1:9" hidden="1" outlineLevel="2">
      <c r="A1064" s="24" t="s">
        <v>624</v>
      </c>
      <c r="B1064" s="2" t="s">
        <v>20</v>
      </c>
      <c r="C1064" s="2" t="s">
        <v>21</v>
      </c>
      <c r="D1064" s="2" t="s">
        <v>69</v>
      </c>
      <c r="E1064" s="39" t="str">
        <f>VLOOKUP($D1064,PRECIOS_REFERENCIAS!A$3:D$90,2,FALSE)</f>
        <v>INSTALACION ROUTER 4G</v>
      </c>
      <c r="F1064" s="3">
        <f>F1062</f>
        <v>1</v>
      </c>
      <c r="G1064" s="2" t="s">
        <v>18</v>
      </c>
      <c r="H1064" s="40">
        <f>VLOOKUP($D1064,PRECIOS_REFERENCIAS!A$3:D$90,4,FALSE)</f>
        <v>40</v>
      </c>
      <c r="I1064" s="6">
        <f>H1064*F1064</f>
        <v>40</v>
      </c>
    </row>
    <row r="1065" spans="1:9" hidden="1" outlineLevel="2">
      <c r="A1065" s="23"/>
      <c r="B1065" s="2"/>
      <c r="C1065" s="2"/>
      <c r="D1065" s="2"/>
      <c r="E1065" s="5" t="str">
        <f>VLOOKUP($D1064,PRECIOS_REFERENCIAS!A$3:D$90,3,FALSE)</f>
        <v>INSTALACIÓN DE ROUTER 4G</v>
      </c>
      <c r="F1065" s="3"/>
      <c r="G1065" s="2"/>
      <c r="H1065" s="40"/>
      <c r="I1065" s="6"/>
    </row>
    <row r="1066" spans="1:9" hidden="1" outlineLevel="2">
      <c r="A1066" s="24" t="s">
        <v>625</v>
      </c>
      <c r="B1066" s="2" t="s">
        <v>71</v>
      </c>
      <c r="C1066" s="2" t="s">
        <v>16</v>
      </c>
      <c r="D1066" s="2" t="s">
        <v>71</v>
      </c>
      <c r="E1066" s="39" t="str">
        <f>VLOOKUP($D1066,PRECIOS_REFERENCIAS!A$3:D$48,2,FALSE)</f>
        <v>ANTENA 4G CON CABLE DE 5 METROS Y KIT MONTAJE ANTENA</v>
      </c>
      <c r="F1066" s="3">
        <v>1</v>
      </c>
      <c r="G1066" s="2" t="s">
        <v>18</v>
      </c>
      <c r="H1066" s="40">
        <f>VLOOKUP($D1066,PRECIOS_REFERENCIAS!A$3:D$48,4,FALSE)</f>
        <v>152.67857142857142</v>
      </c>
      <c r="I1066" s="6">
        <f>H1066*F1066</f>
        <v>152.67857142857142</v>
      </c>
    </row>
    <row r="1067" spans="1:9" hidden="1" outlineLevel="2">
      <c r="A1067" s="23"/>
      <c r="B1067" s="2"/>
      <c r="C1067" s="38"/>
      <c r="D1067" s="2"/>
      <c r="E1067" s="5" t="str">
        <f>VLOOKUP($D1066,PRECIOS_REFERENCIAS!A$3:D$48,3,FALSE)</f>
        <v>ANTENA 310 + KIT MONTAJE ANTENA 310</v>
      </c>
      <c r="F1067" s="7"/>
      <c r="G1067" s="7"/>
      <c r="I1067" s="6"/>
    </row>
    <row r="1068" spans="1:9" hidden="1" outlineLevel="2">
      <c r="A1068" s="24" t="s">
        <v>626</v>
      </c>
      <c r="B1068" s="2" t="s">
        <v>20</v>
      </c>
      <c r="C1068" s="2" t="s">
        <v>21</v>
      </c>
      <c r="D1068" s="2" t="s">
        <v>73</v>
      </c>
      <c r="E1068" s="39" t="str">
        <f>VLOOKUP($D1068,PRECIOS_REFERENCIAS!A$3:D$90,2,FALSE)</f>
        <v>INSTALACION ANTENA EXTERIOR</v>
      </c>
      <c r="F1068" s="3">
        <f>F1066</f>
        <v>1</v>
      </c>
      <c r="G1068" s="2" t="s">
        <v>18</v>
      </c>
      <c r="H1068" s="40">
        <f>VLOOKUP($D1068,PRECIOS_REFERENCIAS!A$3:D$90,4,FALSE)</f>
        <v>149.03086772191051</v>
      </c>
      <c r="I1068" s="6">
        <f>H1068*F1068</f>
        <v>149.03086772191051</v>
      </c>
    </row>
    <row r="1069" spans="1:9" hidden="1" outlineLevel="2">
      <c r="A1069" s="23"/>
      <c r="B1069" s="2"/>
      <c r="C1069" s="2"/>
      <c r="D1069" s="2"/>
      <c r="E1069" s="5" t="str">
        <f>VLOOKUP($D1068,PRECIOS_REFERENCIAS!A$3:D$90,3,FALSE)</f>
        <v>INSTALACIÓN DE ANTENA EXTERIOR + KIT</v>
      </c>
      <c r="F1069" s="3"/>
      <c r="G1069" s="2"/>
      <c r="H1069" s="40"/>
      <c r="I1069" s="6"/>
    </row>
    <row r="1070" spans="1:9" hidden="1" outlineLevel="2">
      <c r="A1070" s="24" t="s">
        <v>627</v>
      </c>
      <c r="B1070" s="2" t="s">
        <v>75</v>
      </c>
      <c r="C1070" s="2" t="s">
        <v>16</v>
      </c>
      <c r="D1070" s="2" t="s">
        <v>75</v>
      </c>
      <c r="E1070" s="39" t="str">
        <f>VLOOKUP($D1070,PRECIOS_REFERENCIAS!A$3:D$90,2,FALSE)</f>
        <v>SUMINISTRO SWITCH 5P</v>
      </c>
      <c r="F1070" s="3">
        <v>1</v>
      </c>
      <c r="G1070" s="2" t="s">
        <v>18</v>
      </c>
      <c r="H1070" s="40">
        <f>VLOOKUP($D1070,PRECIOS_REFERENCIAS!A$3:D$90,4,FALSE)</f>
        <v>97.65</v>
      </c>
      <c r="I1070" s="6">
        <f>H1070*F1070</f>
        <v>97.65</v>
      </c>
    </row>
    <row r="1071" spans="1:9" hidden="1" outlineLevel="2">
      <c r="A1071" s="23"/>
      <c r="B1071" s="2"/>
      <c r="C1071" s="38"/>
      <c r="D1071" s="2"/>
      <c r="E1071" s="5" t="str">
        <f>VLOOKUP($D1070,PRECIOS_REFERENCIAS!A$3:D$90,3,FALSE)</f>
        <v>SwitchNOGest_5x100TXRJ45 / MCSESU053FN0</v>
      </c>
      <c r="F1071" s="7"/>
      <c r="G1071" s="7"/>
      <c r="H1071" s="40"/>
      <c r="I1071" s="6"/>
    </row>
    <row r="1072" spans="1:9" hidden="1" outlineLevel="2">
      <c r="A1072" s="24" t="s">
        <v>628</v>
      </c>
      <c r="B1072" s="2" t="s">
        <v>20</v>
      </c>
      <c r="C1072" s="2" t="s">
        <v>21</v>
      </c>
      <c r="D1072" s="2" t="s">
        <v>77</v>
      </c>
      <c r="E1072" s="39" t="str">
        <f>VLOOKUP($D1072,PRECIOS_REFERENCIAS!A$3:D$90,2,FALSE)</f>
        <v>INSTALACION SWITCH</v>
      </c>
      <c r="F1072" s="3">
        <f>F1070</f>
        <v>1</v>
      </c>
      <c r="G1072" s="2" t="s">
        <v>18</v>
      </c>
      <c r="H1072" s="40">
        <f>VLOOKUP($D1072,PRECIOS_REFERENCIAS!A$3:D$90,4,FALSE)</f>
        <v>40</v>
      </c>
      <c r="I1072" s="6">
        <f>H1072*F1072</f>
        <v>40</v>
      </c>
    </row>
    <row r="1073" spans="1:10" hidden="1" outlineLevel="2">
      <c r="A1073" s="23"/>
      <c r="B1073" s="2"/>
      <c r="C1073" s="2"/>
      <c r="D1073" s="2"/>
      <c r="E1073" s="5" t="str">
        <f>VLOOKUP($D1072,PRECIOS_REFERENCIAS!A$3:D$90,3,FALSE)</f>
        <v>INSTALACIÓN DE SWITCH</v>
      </c>
      <c r="F1073" s="3"/>
      <c r="G1073" s="2"/>
      <c r="I1073" s="6"/>
    </row>
    <row r="1074" spans="1:10" hidden="1" outlineLevel="2">
      <c r="A1074" s="24" t="s">
        <v>629</v>
      </c>
      <c r="B1074" s="2" t="s">
        <v>79</v>
      </c>
      <c r="C1074" s="2" t="s">
        <v>80</v>
      </c>
      <c r="D1074" s="2" t="s">
        <v>81</v>
      </c>
      <c r="E1074" s="39" t="str">
        <f>VLOOKUP($D1074,PRECIOS_REFERENCIAS!A$3:D$90,2,FALSE)</f>
        <v>PLANIFICACION</v>
      </c>
      <c r="F1074" s="3">
        <v>1</v>
      </c>
      <c r="G1074" s="2" t="s">
        <v>18</v>
      </c>
      <c r="H1074" s="40">
        <f>VLOOKUP($D1074,PRECIOS_REFERENCIAS!A$3:D$90,4,FALSE)</f>
        <v>40</v>
      </c>
      <c r="I1074" s="6">
        <f>H1074*F1074</f>
        <v>40</v>
      </c>
    </row>
    <row r="1075" spans="1:10" hidden="1" outlineLevel="2">
      <c r="A1075" s="23"/>
      <c r="B1075" s="2"/>
      <c r="C1075" s="2"/>
      <c r="D1075" s="2"/>
      <c r="E1075" s="5" t="str">
        <f>VLOOKUP($D1074,PRECIOS_REFERENCIAS!A$3:D$90,3,FALSE)</f>
        <v>PLANIFICACIÓN DE LOS TRABAJOS Y DESCARGA EN LOCAL DEL PROGRAMA DEL PLC</v>
      </c>
      <c r="F1075" s="3"/>
      <c r="G1075" s="2"/>
      <c r="H1075" s="40"/>
      <c r="I1075" s="6"/>
    </row>
    <row r="1076" spans="1:10" hidden="1" outlineLevel="2">
      <c r="A1076" s="24" t="s">
        <v>630</v>
      </c>
      <c r="B1076" s="2" t="s">
        <v>83</v>
      </c>
      <c r="C1076" s="2" t="s">
        <v>80</v>
      </c>
      <c r="D1076" s="2" t="s">
        <v>80</v>
      </c>
      <c r="E1076" s="39" t="str">
        <f>VLOOKUP($D1076,PRECIOS_REFERENCIAS!A$3:D$90,2,FALSE)</f>
        <v>INGENIERIA + ESQUEMAS</v>
      </c>
      <c r="F1076" s="3">
        <v>1</v>
      </c>
      <c r="G1076" s="2" t="s">
        <v>18</v>
      </c>
      <c r="H1076" s="40">
        <f>VLOOKUP($D1076,PRECIOS_REFERENCIAS!A$3:D$90,4,FALSE)</f>
        <v>300</v>
      </c>
      <c r="I1076" s="6">
        <f>H1076*F1076</f>
        <v>300</v>
      </c>
    </row>
    <row r="1077" spans="1:10" ht="22.5" hidden="1" outlineLevel="2">
      <c r="A1077" s="23"/>
      <c r="B1077" s="2"/>
      <c r="C1077" s="2"/>
      <c r="D1077" s="2"/>
      <c r="E1077" s="5" t="str">
        <f>VLOOKUP($D1076,PRECIOS_REFERENCIAS!A$3:D$90,3,FALSE)</f>
        <v>INGENIERÍA DE ACTUALIZACIÓN DE ESQUEMAS ELÉCTRICOS. INCLUYE LA REVISIÓN LOCAL DE LOS CUADROS Y ELEMENTOS DE CONTROL, ASÍ COMO LA COMPROBACIÓN DE LAS SEÑALES DE CONTROL.</v>
      </c>
      <c r="F1077" s="3"/>
      <c r="G1077" s="2"/>
      <c r="H1077" s="40"/>
      <c r="I1077" s="6"/>
    </row>
    <row r="1078" spans="1:10" hidden="1" outlineLevel="2">
      <c r="A1078" s="24" t="s">
        <v>631</v>
      </c>
      <c r="B1078" s="2" t="s">
        <v>88</v>
      </c>
      <c r="C1078" s="2" t="s">
        <v>80</v>
      </c>
      <c r="D1078" s="2" t="s">
        <v>89</v>
      </c>
      <c r="E1078" s="39" t="str">
        <f>VLOOKUP($D1078,PRECIOS_REFERENCIAS!A$3:D$90,2,FALSE)</f>
        <v>PROGRAMA PLC NUEVO</v>
      </c>
      <c r="F1078" s="3">
        <v>1</v>
      </c>
      <c r="G1078" s="2" t="s">
        <v>18</v>
      </c>
      <c r="H1078" s="40">
        <f>VLOOKUP($D1078,PRECIOS_REFERENCIAS!A$3:D$90,4,FALSE)</f>
        <v>407.75660964439658</v>
      </c>
      <c r="I1078" s="6">
        <f>H1078*F1078</f>
        <v>407.75660964439658</v>
      </c>
    </row>
    <row r="1079" spans="1:10" hidden="1" outlineLevel="2">
      <c r="A1079" s="23"/>
      <c r="B1079" s="2"/>
      <c r="C1079" s="2"/>
      <c r="D1079" s="2"/>
      <c r="E1079" s="5" t="str">
        <f>VLOOKUP($D1078,PRECIOS_REFERENCIAS!A$3:D$90,3,FALSE)</f>
        <v>MIGRACION DEL PROGRAMA ACTUAL A LA NUEVA PLATAFORMA DE PROGRAMACION</v>
      </c>
      <c r="I1079" s="6"/>
    </row>
    <row r="1080" spans="1:10" hidden="1" outlineLevel="2">
      <c r="A1080" s="24" t="s">
        <v>632</v>
      </c>
      <c r="B1080" s="2" t="s">
        <v>227</v>
      </c>
      <c r="C1080" s="2" t="s">
        <v>80</v>
      </c>
      <c r="D1080" s="2" t="s">
        <v>228</v>
      </c>
      <c r="E1080" s="39" t="str">
        <f>VLOOKUP($D1080,PRECIOS_REFERENCIAS!A$3:D$90,2,FALSE)</f>
        <v>PRGRAMA MODBUS REMOTA 1200</v>
      </c>
      <c r="F1080" s="3">
        <v>1</v>
      </c>
      <c r="G1080" s="2" t="s">
        <v>18</v>
      </c>
      <c r="H1080" s="40">
        <f>VLOOKUP($D1080,PRECIOS_REFERENCIAS!A$3:D$90,4,FALSE)</f>
        <v>50</v>
      </c>
      <c r="I1080" s="6">
        <f>H1080*F1080</f>
        <v>50</v>
      </c>
    </row>
    <row r="1081" spans="1:10" hidden="1" outlineLevel="2">
      <c r="A1081" s="23"/>
      <c r="B1081" s="2"/>
      <c r="C1081" s="2"/>
      <c r="D1081" s="2"/>
      <c r="E1081" s="5" t="str">
        <f>VLOOKUP($D1080,PRECIOS_REFERENCIAS!A$3:D$90,3,FALSE)</f>
        <v>PROGRAMACION COMUNICACIÓN MODBUS CON OS CAUDALIMETROS</v>
      </c>
      <c r="I1081" s="6"/>
    </row>
    <row r="1082" spans="1:10" hidden="1" outlineLevel="2">
      <c r="A1082" s="24" t="s">
        <v>633</v>
      </c>
      <c r="B1082" s="2" t="s">
        <v>94</v>
      </c>
      <c r="C1082" s="2" t="s">
        <v>80</v>
      </c>
      <c r="D1082" s="2" t="s">
        <v>95</v>
      </c>
      <c r="E1082" s="39" t="str">
        <f>VLOOKUP($D1082,PRECIOS_REFERENCIAS!A$3:D$90,2,FALSE)</f>
        <v>PEM REMOTA</v>
      </c>
      <c r="F1082" s="3">
        <v>1</v>
      </c>
      <c r="G1082" s="2" t="s">
        <v>18</v>
      </c>
      <c r="H1082" s="40">
        <f>VLOOKUP($D1082,PRECIOS_REFERENCIAS!A$3:D$90,4,FALSE)</f>
        <v>851.7</v>
      </c>
      <c r="I1082" s="6">
        <f>H1082*F1082</f>
        <v>851.7</v>
      </c>
    </row>
    <row r="1083" spans="1:10" hidden="1" outlineLevel="2">
      <c r="A1083" s="23"/>
      <c r="B1083" s="2"/>
      <c r="C1083" s="2"/>
      <c r="D1083" s="2"/>
      <c r="E1083" s="5" t="str">
        <f>VLOOKUP($D1082,PRECIOS_REFERENCIAS!A$3:D$90,3,FALSE)</f>
        <v>PUESTA EN MARCHA DEL PROGRAMA DE CONTROL LOCAL</v>
      </c>
      <c r="F1083" s="3"/>
      <c r="G1083" s="2"/>
      <c r="H1083" s="40"/>
      <c r="I1083" s="6"/>
    </row>
    <row r="1084" spans="1:10" hidden="1" outlineLevel="2">
      <c r="A1084" s="24" t="s">
        <v>634</v>
      </c>
      <c r="B1084" s="2" t="s">
        <v>97</v>
      </c>
      <c r="C1084" s="2" t="s">
        <v>80</v>
      </c>
      <c r="D1084" s="2" t="s">
        <v>98</v>
      </c>
      <c r="E1084" s="39" t="str">
        <f>VLOOKUP($D1084,PRECIOS_REFERENCIAS!A$3:D$90,2,FALSE)</f>
        <v>REVISION SCADA</v>
      </c>
      <c r="F1084" s="3">
        <v>1</v>
      </c>
      <c r="G1084" s="2" t="s">
        <v>18</v>
      </c>
      <c r="H1084" s="40">
        <f>VLOOKUP($D1084,PRECIOS_REFERENCIAS!A$3:D$90,4,FALSE)</f>
        <v>60</v>
      </c>
      <c r="I1084" s="6">
        <f>H1084*F1084</f>
        <v>60</v>
      </c>
    </row>
    <row r="1085" spans="1:10" hidden="1" outlineLevel="2">
      <c r="A1085" s="23"/>
      <c r="B1085" s="2"/>
      <c r="C1085" s="2"/>
      <c r="D1085" s="2"/>
      <c r="E1085" s="5" t="str">
        <f>VLOOKUP($D1084,PRECIOS_REFERENCIAS!A$3:D$90,3,FALSE)</f>
        <v>REVISIÓN DEL PROGRAMA DE SUPERVISIÓN SCADA</v>
      </c>
      <c r="I1085" s="6"/>
    </row>
    <row r="1086" spans="1:10" hidden="1" outlineLevel="2">
      <c r="A1086" s="24"/>
      <c r="B1086" s="2"/>
      <c r="C1086" s="2" t="s">
        <v>16</v>
      </c>
      <c r="D1086" s="2"/>
      <c r="E1086" s="76" t="str">
        <f>CONCATENATE(E1021," - TOTAL HARDWARE")</f>
        <v>ER10 DEPOSITO URTATZA - TOTAL HARDWARE</v>
      </c>
      <c r="F1086" s="74"/>
      <c r="G1086" s="74"/>
      <c r="H1086" s="74"/>
      <c r="I1086" s="75">
        <f>I1022+I1026+I1030+I1034+I1046+I1038+I1052+I1058+I1062+I1066+I1070+I1032+I1042</f>
        <v>3352.4991896359015</v>
      </c>
    </row>
    <row r="1087" spans="1:10" hidden="1" outlineLevel="2">
      <c r="A1087" s="23"/>
      <c r="B1087" s="2"/>
      <c r="C1087" s="2" t="s">
        <v>21</v>
      </c>
      <c r="D1087" s="2"/>
      <c r="E1087" s="76" t="str">
        <f>CONCATENATE(E1021," - TOTAL INSTALACION")</f>
        <v>ER10 DEPOSITO URTATZA - TOTAL INSTALACION</v>
      </c>
      <c r="F1087" s="74"/>
      <c r="G1087" s="74"/>
      <c r="H1087" s="74"/>
      <c r="I1087" s="75">
        <f>I1024+I1028+I1036+I1050+I1048+I1054+I1060+I1064+I1068+I1072+I1040+I1056+I1044</f>
        <v>1654.4823374092837</v>
      </c>
    </row>
    <row r="1088" spans="1:10" hidden="1" outlineLevel="2">
      <c r="A1088" s="23"/>
      <c r="B1088" s="2"/>
      <c r="C1088" s="2" t="s">
        <v>80</v>
      </c>
      <c r="D1088" s="2"/>
      <c r="E1088" s="76" t="str">
        <f>CONCATENATE(E1021," - TOTAL INGENIERIA")</f>
        <v>ER10 DEPOSITO URTATZA - TOTAL INGENIERIA</v>
      </c>
      <c r="F1088" s="74"/>
      <c r="G1088" s="74"/>
      <c r="H1088" s="74"/>
      <c r="I1088" s="75">
        <f>I1074+I1076+I1078+I1082+I1084+I1080</f>
        <v>1709.4566096443966</v>
      </c>
      <c r="J1088" s="22">
        <f>SUM(I1086:I1088)</f>
        <v>6716.4381366895823</v>
      </c>
    </row>
    <row r="1089" spans="1:9" hidden="1" outlineLevel="2">
      <c r="E1089" s="41" t="s">
        <v>635</v>
      </c>
      <c r="F1089" s="41"/>
      <c r="G1089" s="41"/>
      <c r="H1089" s="41"/>
      <c r="I1089" s="42">
        <f>SUM(I1022:I1085)</f>
        <v>6716.4381366895805</v>
      </c>
    </row>
    <row r="1090" spans="1:9" hidden="1" outlineLevel="1">
      <c r="A1090" s="44" t="s">
        <v>636</v>
      </c>
      <c r="B1090" s="44"/>
      <c r="C1090" s="44"/>
      <c r="D1090" s="44"/>
      <c r="E1090" s="43" t="s">
        <v>637</v>
      </c>
      <c r="F1090" s="44"/>
      <c r="G1090" s="44" t="s">
        <v>11</v>
      </c>
      <c r="H1090" s="45"/>
      <c r="I1090" s="64">
        <f>I1138</f>
        <v>5540.0927359004827</v>
      </c>
    </row>
    <row r="1091" spans="1:9" hidden="1" outlineLevel="2">
      <c r="A1091" s="24" t="s">
        <v>638</v>
      </c>
      <c r="B1091" s="2" t="s">
        <v>15</v>
      </c>
      <c r="C1091" s="2" t="s">
        <v>16</v>
      </c>
      <c r="D1091" s="2" t="s">
        <v>15</v>
      </c>
      <c r="E1091" s="39" t="str">
        <f>VLOOKUP($D1091,PRECIOS_REFERENCIAS!A$3:D$90,2,FALSE)</f>
        <v xml:space="preserve">CARRIL DIN </v>
      </c>
      <c r="F1091" s="3">
        <v>1</v>
      </c>
      <c r="G1091" s="2" t="s">
        <v>18</v>
      </c>
      <c r="H1091" s="40">
        <f>VLOOKUP($D1091,PRECIOS_REFERENCIAS!A$3:D$90,4,FALSE)</f>
        <v>2.6481182073295662</v>
      </c>
      <c r="I1091" s="6">
        <f>H1091*F1091</f>
        <v>2.6481182073295662</v>
      </c>
    </row>
    <row r="1092" spans="1:9" hidden="1" outlineLevel="2">
      <c r="A1092" s="23"/>
      <c r="B1092" s="2"/>
      <c r="C1092" s="2"/>
      <c r="D1092" s="2"/>
      <c r="E1092" s="5" t="str">
        <f>VLOOKUP($D1091,PRECIOS_REFERENCIAS!A$3:D$90,3,FALSE)</f>
        <v>CARRIL DIN PARA REMOTA S7-1200</v>
      </c>
      <c r="F1092" s="3"/>
      <c r="G1092" s="2"/>
      <c r="H1092" s="40"/>
      <c r="I1092" s="6"/>
    </row>
    <row r="1093" spans="1:9" hidden="1" outlineLevel="2">
      <c r="A1093" s="24" t="s">
        <v>639</v>
      </c>
      <c r="B1093" s="2" t="s">
        <v>20</v>
      </c>
      <c r="C1093" s="2" t="s">
        <v>21</v>
      </c>
      <c r="D1093" s="2" t="s">
        <v>22</v>
      </c>
      <c r="E1093" s="39" t="str">
        <f>VLOOKUP($D1093,PRECIOS_REFERENCIAS!A$3:D$90,2,FALSE)</f>
        <v xml:space="preserve">INSTALACION CARRIL DIN </v>
      </c>
      <c r="F1093" s="3">
        <v>1</v>
      </c>
      <c r="G1093" s="2" t="s">
        <v>18</v>
      </c>
      <c r="H1093" s="40">
        <f>VLOOKUP($D1093,PRECIOS_REFERENCIAS!A$3:D$90,4,FALSE)</f>
        <v>35.402252939916011</v>
      </c>
      <c r="I1093" s="6">
        <f>H1093*F1093</f>
        <v>35.402252939916011</v>
      </c>
    </row>
    <row r="1094" spans="1:9" hidden="1" outlineLevel="2">
      <c r="A1094" s="23"/>
      <c r="B1094" s="2"/>
      <c r="C1094" s="2"/>
      <c r="D1094" s="2"/>
      <c r="E1094" s="5" t="str">
        <f>VLOOKUP($D1093,PRECIOS_REFERENCIAS!A$3:D$90,3,FALSE)</f>
        <v>SUSTITUCIÓN DE PERFIL SOPORTE DE PLC EXISTENTE POR NUEVO PERFIL DE PLC DEFINIDO, DENTRO DEL ARMARIO ELÉCTRICO ACTUAL.</v>
      </c>
      <c r="F1094" s="3"/>
      <c r="G1094" s="2"/>
      <c r="H1094" s="40"/>
      <c r="I1094" s="6"/>
    </row>
    <row r="1095" spans="1:9" hidden="1" outlineLevel="2">
      <c r="A1095" s="24" t="s">
        <v>640</v>
      </c>
      <c r="B1095" s="2" t="s">
        <v>104</v>
      </c>
      <c r="C1095" s="2" t="s">
        <v>16</v>
      </c>
      <c r="D1095" s="2" t="s">
        <v>104</v>
      </c>
      <c r="E1095" s="39" t="str">
        <f>VLOOKUP($D1095,PRECIOS_REFERENCIAS!A$3:D$48,2,FALSE)</f>
        <v>SUMINISTRO DE CPU REMOTAS</v>
      </c>
      <c r="F1095" s="3">
        <v>1</v>
      </c>
      <c r="G1095" s="2" t="s">
        <v>18</v>
      </c>
      <c r="H1095" s="40">
        <f>VLOOKUP($D1095,PRECIOS_REFERENCIAS!A$3:D$48,4,FALSE)</f>
        <v>416.28749999999997</v>
      </c>
      <c r="I1095" s="6">
        <f>H1095*F1095</f>
        <v>416.28749999999997</v>
      </c>
    </row>
    <row r="1096" spans="1:9" hidden="1" outlineLevel="2">
      <c r="A1096" s="23"/>
      <c r="B1096" s="38"/>
      <c r="C1096" s="38"/>
      <c r="D1096" s="38"/>
      <c r="E1096" s="5" t="str">
        <f>VLOOKUP($D1095,PRECIOS_REFERENCIAS!A$3:D$48,3,FALSE)</f>
        <v>SIMATIC S7-1200 - CPU 1214C //6ES7214-1AG40-0XB0</v>
      </c>
      <c r="F1096" s="7"/>
      <c r="G1096" s="7"/>
      <c r="I1096" s="6"/>
    </row>
    <row r="1097" spans="1:9" hidden="1" outlineLevel="2">
      <c r="A1097" s="24" t="s">
        <v>641</v>
      </c>
      <c r="B1097" s="2" t="s">
        <v>20</v>
      </c>
      <c r="C1097" s="2" t="s">
        <v>21</v>
      </c>
      <c r="D1097" s="2" t="s">
        <v>28</v>
      </c>
      <c r="E1097" s="39" t="str">
        <f>VLOOKUP($D1097,PRECIOS_REFERENCIAS!A$3:D$90,2,FALSE)</f>
        <v>INSTALACION CPU</v>
      </c>
      <c r="F1097" s="3">
        <v>1</v>
      </c>
      <c r="G1097" s="2" t="s">
        <v>18</v>
      </c>
      <c r="H1097" s="40">
        <f>VLOOKUP($D1097,PRECIOS_REFERENCIAS!A$3:D$90,4,FALSE)</f>
        <v>123.90076030798227</v>
      </c>
      <c r="I1097" s="6">
        <f>H1097*F1097</f>
        <v>123.90076030798227</v>
      </c>
    </row>
    <row r="1098" spans="1:9" hidden="1" outlineLevel="2">
      <c r="A1098" s="23"/>
      <c r="B1098" s="2"/>
      <c r="C1098" s="2"/>
      <c r="D1098" s="2"/>
      <c r="E1098" s="5" t="str">
        <f>VLOOKUP($D1097,PRECIOS_REFERENCIAS!A$3:D$90,3,FALSE)</f>
        <v>SUSTITUCIÓN DE CPU DE PLC EXISTENTE POR NUEVA CPU DE PLC DEFINIDA</v>
      </c>
      <c r="F1098" s="3"/>
      <c r="G1098" s="2"/>
      <c r="H1098" s="40"/>
      <c r="I1098" s="6"/>
    </row>
    <row r="1099" spans="1:9" hidden="1" outlineLevel="2">
      <c r="A1099" s="24" t="s">
        <v>642</v>
      </c>
      <c r="B1099" s="2" t="s">
        <v>153</v>
      </c>
      <c r="C1099" s="2" t="s">
        <v>16</v>
      </c>
      <c r="D1099" s="2" t="s">
        <v>153</v>
      </c>
      <c r="E1099" s="39" t="str">
        <f>VLOOKUP($D1099,PRECIOS_REFERENCIAS!A$3:D$48,2,FALSE)</f>
        <v>SUMINISTRO DE FUENTE ALIMENTACIÓN CPU REMOTAS</v>
      </c>
      <c r="F1099" s="3">
        <v>1</v>
      </c>
      <c r="G1099" s="2" t="s">
        <v>18</v>
      </c>
      <c r="H1099" s="40">
        <f>VLOOKUP($D1099,PRECIOS_REFERENCIAS!A$3:D$48,4,FALSE)</f>
        <v>180.01500000000001</v>
      </c>
      <c r="I1099" s="6">
        <f>H1099*F1099</f>
        <v>180.01500000000001</v>
      </c>
    </row>
    <row r="1100" spans="1:9" hidden="1" outlineLevel="2">
      <c r="A1100" s="23"/>
      <c r="B1100" s="7"/>
      <c r="C1100" s="7"/>
      <c r="D1100" s="7"/>
      <c r="E1100" s="5" t="str">
        <f>VLOOKUP($D1099,PRECIOS_REFERENCIAS!A$3:D$48,3,FALSE)</f>
        <v>SITOP PSU6200 24 V/10 A // 6EP3334-7SB00-3AX0    </v>
      </c>
      <c r="F1100" s="7"/>
      <c r="G1100" s="7"/>
      <c r="I1100" s="6"/>
    </row>
    <row r="1101" spans="1:9" hidden="1" outlineLevel="2">
      <c r="A1101" s="24" t="s">
        <v>643</v>
      </c>
      <c r="B1101" s="2" t="s">
        <v>155</v>
      </c>
      <c r="C1101" s="2" t="s">
        <v>16</v>
      </c>
      <c r="D1101" s="2" t="s">
        <v>156</v>
      </c>
      <c r="E1101" s="39" t="str">
        <f>VLOOKUP($D1101,PRECIOS_REFERENCIAS!A$3:D$98,2,FALSE)</f>
        <v>TARJETA DE MEMORIA S7-1200</v>
      </c>
      <c r="F1101" s="3">
        <v>1</v>
      </c>
      <c r="G1101" s="2" t="s">
        <v>18</v>
      </c>
      <c r="H1101" s="40">
        <f>VLOOKUP($D1101,PRECIOS_REFERENCIAS!A$3:D$100,4,FALSE)</f>
        <v>263.13750000000005</v>
      </c>
      <c r="I1101" s="6">
        <f>H1101*F1101</f>
        <v>263.13750000000005</v>
      </c>
    </row>
    <row r="1102" spans="1:9" hidden="1" outlineLevel="2">
      <c r="A1102" s="23"/>
      <c r="B1102" s="7"/>
      <c r="C1102" s="7"/>
      <c r="D1102" s="7"/>
      <c r="E1102" s="5" t="str">
        <f>VLOOKUP($D1101,PRECIOS_REFERENCIAS!A$3:D$98,3,FALSE)</f>
        <v>SIMATIC S7 Memory Card, 24 MB //6ES7954-8LF03-0AA0</v>
      </c>
      <c r="F1102" s="7"/>
      <c r="G1102" s="7"/>
      <c r="I1102" s="6"/>
    </row>
    <row r="1103" spans="1:9" hidden="1" outlineLevel="2">
      <c r="A1103" s="24" t="s">
        <v>644</v>
      </c>
      <c r="B1103" s="2" t="s">
        <v>158</v>
      </c>
      <c r="C1103" s="2" t="s">
        <v>16</v>
      </c>
      <c r="D1103" s="2" t="s">
        <v>159</v>
      </c>
      <c r="E1103" s="39" t="str">
        <f>VLOOKUP($D1103,PRECIOS_REFERENCIAS!A$3:D$90,2,FALSE)</f>
        <v>TARJETA COMUNICACIONES  S7-1200</v>
      </c>
      <c r="F1103" s="3">
        <v>1</v>
      </c>
      <c r="G1103" s="2" t="s">
        <v>18</v>
      </c>
      <c r="H1103" s="40">
        <f>VLOOKUP($D1103,PRECIOS_REFERENCIAS!A$3:D$90,4,FALSE)</f>
        <v>518.66999999999996</v>
      </c>
      <c r="I1103" s="6">
        <f>H1103*F1103</f>
        <v>518.66999999999996</v>
      </c>
    </row>
    <row r="1104" spans="1:9" hidden="1" outlineLevel="2">
      <c r="A1104" s="23"/>
      <c r="B1104" s="2"/>
      <c r="C1104" s="38"/>
      <c r="D1104" s="2"/>
      <c r="E1104" s="5" t="str">
        <f>VLOOKUP($D1103,PRECIOS_REFERENCIAS!A$3:D$90,3,FALSE)</f>
        <v>SIMATIC S7-1200  Modulo Ethernet CP 1243-1  //6GK7243-1BX30-0XE0</v>
      </c>
      <c r="F1104" s="3"/>
      <c r="G1104" s="2"/>
      <c r="H1104" s="40"/>
      <c r="I1104" s="6"/>
    </row>
    <row r="1105" spans="1:9" hidden="1" outlineLevel="2">
      <c r="A1105" s="24" t="s">
        <v>645</v>
      </c>
      <c r="B1105" s="2" t="s">
        <v>20</v>
      </c>
      <c r="C1105" s="2" t="s">
        <v>21</v>
      </c>
      <c r="D1105" s="2" t="s">
        <v>161</v>
      </c>
      <c r="E1105" s="39" t="str">
        <f>VLOOKUP($D1105,PRECIOS_REFERENCIAS!A$3:D$90,2,FALSE)</f>
        <v>INSTALACION COM ADICIONAL</v>
      </c>
      <c r="F1105" s="3">
        <v>1</v>
      </c>
      <c r="G1105" s="2" t="s">
        <v>18</v>
      </c>
      <c r="H1105" s="40">
        <f>VLOOKUP($D1105,PRECIOS_REFERENCIAS!A$3:D$90,4,FALSE)</f>
        <v>40</v>
      </c>
      <c r="I1105" s="6">
        <f>H1105*F1105</f>
        <v>40</v>
      </c>
    </row>
    <row r="1106" spans="1:9" hidden="1" outlineLevel="2">
      <c r="A1106" s="23"/>
      <c r="B1106" s="7"/>
      <c r="C1106" s="7"/>
      <c r="D1106" s="7"/>
      <c r="E1106" s="5" t="str">
        <f>VLOOKUP($D1105,PRECIOS_REFERENCIAS!A$3:D$90,3,FALSE)</f>
        <v xml:space="preserve">INSTALACION TARJETA COMUNICACIONES ADICIONAL </v>
      </c>
      <c r="F1106" s="7"/>
      <c r="G1106" s="7"/>
      <c r="I1106" s="6"/>
    </row>
    <row r="1107" spans="1:9" hidden="1" outlineLevel="2">
      <c r="A1107" s="24" t="s">
        <v>646</v>
      </c>
      <c r="B1107" s="2" t="s">
        <v>20</v>
      </c>
      <c r="C1107" s="2" t="s">
        <v>21</v>
      </c>
      <c r="D1107" s="2" t="s">
        <v>35</v>
      </c>
      <c r="E1107" s="39" t="str">
        <f>VLOOKUP($D1107,PRECIOS_REFERENCIAS!A$3:D$90,2,FALSE)</f>
        <v>INSTALACION ED</v>
      </c>
      <c r="F1107" s="3">
        <v>1</v>
      </c>
      <c r="G1107" s="2" t="s">
        <v>18</v>
      </c>
      <c r="H1107" s="40">
        <f>VLOOKUP($D1107,PRECIOS_REFERENCIAS!A$3:D$90,4,FALSE)</f>
        <v>161.97310014887609</v>
      </c>
      <c r="I1107" s="6">
        <f>H1107*F1107</f>
        <v>161.97310014887609</v>
      </c>
    </row>
    <row r="1108" spans="1:9" hidden="1" outlineLevel="2">
      <c r="A1108" s="23"/>
      <c r="B1108" s="2"/>
      <c r="C1108" s="7"/>
      <c r="D1108" s="2"/>
      <c r="E1108" s="5" t="str">
        <f>VLOOKUP($D1107,PRECIOS_REFERENCIAS!A$3:D$90,3,FALSE)</f>
        <v>SUSTITUCIÓN DE MÓDULO DE E/S DIGITALES DE PLC EXISTENTE POR NUEVO MÓDULO DE PLC DEFINIDO. ENTRADA DIGITAL 16</v>
      </c>
      <c r="F1108" s="3"/>
      <c r="G1108" s="2"/>
      <c r="H1108" s="40"/>
      <c r="I1108" s="6"/>
    </row>
    <row r="1109" spans="1:9" hidden="1" outlineLevel="2">
      <c r="A1109" s="24" t="s">
        <v>647</v>
      </c>
      <c r="B1109" s="2" t="s">
        <v>20</v>
      </c>
      <c r="C1109" s="2" t="s">
        <v>21</v>
      </c>
      <c r="D1109" s="2" t="s">
        <v>41</v>
      </c>
      <c r="E1109" s="39" t="str">
        <f>VLOOKUP($D1109,PRECIOS_REFERENCIAS!A$3:D$90,2,FALSE)</f>
        <v>INSTALACION SD</v>
      </c>
      <c r="F1109" s="3">
        <v>1</v>
      </c>
      <c r="G1109" s="2" t="s">
        <v>18</v>
      </c>
      <c r="H1109" s="40">
        <f>VLOOKUP($D1109,PRECIOS_REFERENCIAS!A$3:D$90,4,FALSE)</f>
        <v>162.83522293745065</v>
      </c>
      <c r="I1109" s="6">
        <f>H1109*F1109</f>
        <v>162.83522293745065</v>
      </c>
    </row>
    <row r="1110" spans="1:9" hidden="1" outlineLevel="2">
      <c r="A1110" s="23"/>
      <c r="B1110" s="2"/>
      <c r="C1110" s="7"/>
      <c r="D1110" s="2"/>
      <c r="E1110" s="5" t="str">
        <f>VLOOKUP($D1109,PRECIOS_REFERENCIAS!A$3:D$90,3,FALSE)</f>
        <v>SUSTITUCIÓN DE MÓDULO DE E/S DIGITALES DE PLC EXISTENTE POR NUEVO MÓDULO DE PLC DEFINIDO. SALIDA DIGITAL 16</v>
      </c>
      <c r="F1110" s="3"/>
      <c r="G1110" s="2"/>
      <c r="H1110" s="40"/>
      <c r="I1110" s="6"/>
    </row>
    <row r="1111" spans="1:9" hidden="1" outlineLevel="2">
      <c r="A1111" s="24" t="s">
        <v>648</v>
      </c>
      <c r="B1111" s="2" t="s">
        <v>20</v>
      </c>
      <c r="C1111" s="2" t="s">
        <v>21</v>
      </c>
      <c r="D1111" s="2" t="s">
        <v>46</v>
      </c>
      <c r="E1111" s="39" t="str">
        <f>VLOOKUP($D1111,PRECIOS_REFERENCIAS!A$3:D$90,2,FALSE)</f>
        <v>INSTALACION EA</v>
      </c>
      <c r="F1111" s="3">
        <v>1</v>
      </c>
      <c r="G1111" s="2" t="s">
        <v>18</v>
      </c>
      <c r="H1111" s="40">
        <f>VLOOKUP($D1111,PRECIOS_REFERENCIAS!A$3:D$90,4,FALSE)</f>
        <v>237.18351660213608</v>
      </c>
      <c r="I1111" s="6">
        <f>H1111*F1111</f>
        <v>237.18351660213608</v>
      </c>
    </row>
    <row r="1112" spans="1:9" hidden="1" outlineLevel="2">
      <c r="A1112" s="23"/>
      <c r="B1112" s="2"/>
      <c r="C1112" s="7"/>
      <c r="D1112" s="2"/>
      <c r="E1112" s="5" t="str">
        <f>VLOOKUP($D1111,PRECIOS_REFERENCIAS!A$3:D$90,3,FALSE)</f>
        <v>SUSTITUCIÓN DE MÓDULO DE E/S ANALÓGICAS DE PLC EXISTENTE POR NUEVO MÓDULO DE PLC DEFINIDO. ENTRADA ANALÓGICAS 8</v>
      </c>
      <c r="F1112" s="3"/>
      <c r="G1112" s="2"/>
      <c r="H1112" s="40"/>
      <c r="I1112" s="6"/>
    </row>
    <row r="1113" spans="1:9" hidden="1" outlineLevel="2">
      <c r="A1113" s="24" t="s">
        <v>649</v>
      </c>
      <c r="B1113" s="2" t="s">
        <v>210</v>
      </c>
      <c r="C1113" s="2" t="s">
        <v>16</v>
      </c>
      <c r="D1113" s="2" t="s">
        <v>210</v>
      </c>
      <c r="E1113" s="39" t="str">
        <f>VLOOKUP($D1113,PRECIOS_REFERENCIAS!A$3:D$48,2,FALSE)</f>
        <v>HMI LOCAL 4" ETHERNET Y COLOR</v>
      </c>
      <c r="F1113" s="3">
        <v>1</v>
      </c>
      <c r="G1113" s="2" t="s">
        <v>18</v>
      </c>
      <c r="H1113" s="40">
        <f>VLOOKUP($D1113,PRECIOS_REFERENCIAS!A$3:D$48,4,FALSE)</f>
        <v>297.52999999999997</v>
      </c>
      <c r="I1113" s="6">
        <f>H1113*F1113</f>
        <v>297.52999999999997</v>
      </c>
    </row>
    <row r="1114" spans="1:9" hidden="1" outlineLevel="2">
      <c r="A1114" s="23"/>
      <c r="B1114" s="2"/>
      <c r="C1114" s="2"/>
      <c r="D1114" s="2"/>
      <c r="E1114" s="5" t="str">
        <f>VLOOKUP($D1113,PRECIOS_REFERENCIAS!A$3:D$48,3,FALSE)</f>
        <v>SIMATIC HMI, KTP400 Basic, Basic Panel, Manejo con teclado/táctil, pantalla TFT de 4", 65536 colores // 6AV2123-2GB03-0AX0</v>
      </c>
      <c r="F1114" s="7"/>
      <c r="G1114" s="7"/>
      <c r="I1114" s="6"/>
    </row>
    <row r="1115" spans="1:9" hidden="1" outlineLevel="2">
      <c r="A1115" s="24" t="s">
        <v>650</v>
      </c>
      <c r="B1115" s="2" t="s">
        <v>20</v>
      </c>
      <c r="C1115" s="2" t="s">
        <v>21</v>
      </c>
      <c r="D1115" s="2" t="s">
        <v>56</v>
      </c>
      <c r="E1115" s="39" t="str">
        <f>VLOOKUP($D1115,PRECIOS_REFERENCIAS!A$3:D$90,2,FALSE)</f>
        <v>INSTALACION HMI</v>
      </c>
      <c r="F1115" s="3">
        <f>F1113</f>
        <v>1</v>
      </c>
      <c r="G1115" s="2" t="s">
        <v>18</v>
      </c>
      <c r="H1115" s="40">
        <f>VLOOKUP($D1115,PRECIOS_REFERENCIAS!A$3:D$90,4,FALSE)</f>
        <v>125</v>
      </c>
      <c r="I1115" s="6">
        <f>H1115*F1115</f>
        <v>125</v>
      </c>
    </row>
    <row r="1116" spans="1:9" hidden="1" outlineLevel="2">
      <c r="A1116" s="23"/>
      <c r="B1116" s="2"/>
      <c r="C1116" s="7"/>
      <c r="D1116" s="2"/>
      <c r="E1116" s="5" t="str">
        <f>VLOOKUP($D1115,PRECIOS_REFERENCIAS!A$3:D$90,3,FALSE)</f>
        <v>INSTALACIÓN DE PANTALLA HMI</v>
      </c>
      <c r="F1116" s="3"/>
      <c r="G1116" s="2"/>
      <c r="H1116" s="40"/>
      <c r="I1116" s="6"/>
    </row>
    <row r="1117" spans="1:9" hidden="1" outlineLevel="2">
      <c r="A1117" s="24" t="s">
        <v>651</v>
      </c>
      <c r="B1117" s="2" t="s">
        <v>213</v>
      </c>
      <c r="C1117" s="2" t="s">
        <v>16</v>
      </c>
      <c r="D1117" s="2" t="s">
        <v>258</v>
      </c>
      <c r="E1117" s="39" t="str">
        <f>VLOOKUP($D1117,PRECIOS_REFERENCIAS!A$3:D$48,2,FALSE)</f>
        <v>SWITCH SHDSL 2 PUERTOS + BYPASS</v>
      </c>
      <c r="F1117" s="3">
        <v>1</v>
      </c>
      <c r="G1117" s="2" t="s">
        <v>18</v>
      </c>
      <c r="H1117" s="40">
        <f>VLOOKUP($D1117,PRECIOS_REFERENCIAS!A$3:D$48,4,FALSE)</f>
        <v>1024.6500000000001</v>
      </c>
      <c r="I1117" s="6">
        <f>H1117*F1117</f>
        <v>1024.6500000000001</v>
      </c>
    </row>
    <row r="1118" spans="1:9" hidden="1" outlineLevel="2">
      <c r="A1118" s="23"/>
      <c r="B1118" s="2"/>
      <c r="C1118" s="2"/>
      <c r="D1118" s="2"/>
      <c r="E1118" s="5" t="str">
        <f>VLOOKUP($D1117,PRECIOS_REFERENCIAS!A$3:D$48,3,FALSE)</f>
        <v>SWITCH XSLAN+BP2400 O SIMILAR</v>
      </c>
      <c r="F1118" s="7"/>
      <c r="G1118" s="7"/>
      <c r="I1118" s="6"/>
    </row>
    <row r="1119" spans="1:9" hidden="1" outlineLevel="2">
      <c r="A1119" s="24" t="s">
        <v>652</v>
      </c>
      <c r="B1119" s="2" t="s">
        <v>20</v>
      </c>
      <c r="C1119" s="2" t="s">
        <v>21</v>
      </c>
      <c r="D1119" s="2" t="s">
        <v>61</v>
      </c>
      <c r="E1119" s="39" t="str">
        <f>VLOOKUP($D1119,PRECIOS_REFERENCIAS!A$3:D$90,2,FALSE)</f>
        <v>INSTALACION SWITCH SHDSL</v>
      </c>
      <c r="F1119" s="3">
        <f>F1117</f>
        <v>1</v>
      </c>
      <c r="G1119" s="2" t="s">
        <v>18</v>
      </c>
      <c r="H1119" s="40">
        <f>VLOOKUP($D1119,PRECIOS_REFERENCIAS!A$3:D$90,4,FALSE)</f>
        <v>40</v>
      </c>
      <c r="I1119" s="6">
        <f>H1119*F1119</f>
        <v>40</v>
      </c>
    </row>
    <row r="1120" spans="1:9" hidden="1" outlineLevel="2">
      <c r="A1120" s="23"/>
      <c r="B1120" s="2"/>
      <c r="C1120" s="7"/>
      <c r="D1120" s="2"/>
      <c r="E1120" s="5" t="str">
        <f>VLOOKUP($D1119,PRECIOS_REFERENCIAS!A$3:D$90,3,FALSE)</f>
        <v>INSTALACIÓN DE ROUTER</v>
      </c>
      <c r="F1120" s="3"/>
      <c r="G1120" s="2"/>
      <c r="H1120" s="40"/>
      <c r="I1120" s="6"/>
    </row>
    <row r="1121" spans="1:9" hidden="1" outlineLevel="2">
      <c r="A1121" s="24" t="s">
        <v>653</v>
      </c>
      <c r="B1121" s="2" t="s">
        <v>63</v>
      </c>
      <c r="C1121" s="2" t="s">
        <v>16</v>
      </c>
      <c r="D1121" s="2" t="s">
        <v>63</v>
      </c>
      <c r="E1121" s="39" t="str">
        <f>VLOOKUP($D1121,PRECIOS_REFERENCIAS!A$3:D$48,2,FALSE)</f>
        <v>DESCARGADOR DE SOBRETENSIONES LÍNEA SHDSL</v>
      </c>
      <c r="F1121" s="3">
        <v>1</v>
      </c>
      <c r="G1121" s="2" t="s">
        <v>18</v>
      </c>
      <c r="H1121" s="40">
        <f>VLOOKUP($D1121,PRECIOS_REFERENCIAS!A$3:D$48,4,FALSE)</f>
        <v>187</v>
      </c>
      <c r="I1121" s="6">
        <f>H1121*F1121</f>
        <v>187</v>
      </c>
    </row>
    <row r="1122" spans="1:9" hidden="1" outlineLevel="2">
      <c r="A1122" s="23"/>
      <c r="B1122" s="2"/>
      <c r="C1122" s="2"/>
      <c r="D1122" s="2"/>
      <c r="E1122" s="5" t="str">
        <f>VLOOKUP($D1121,PRECIOS_REFERENCIAS!A$3:D$48,3,FALSE)</f>
        <v>Equipo DT-TELE-SHDSL de Phoenix Contact con 2 puertos para conexión SHDSL</v>
      </c>
      <c r="F1122" s="7"/>
      <c r="G1122" s="7"/>
      <c r="I1122" s="6"/>
    </row>
    <row r="1123" spans="1:9" hidden="1" outlineLevel="2">
      <c r="A1123" s="24" t="s">
        <v>654</v>
      </c>
      <c r="B1123" s="2" t="s">
        <v>20</v>
      </c>
      <c r="C1123" s="2" t="s">
        <v>21</v>
      </c>
      <c r="D1123" s="2" t="s">
        <v>65</v>
      </c>
      <c r="E1123" s="39" t="str">
        <f>VLOOKUP($D1123,PRECIOS_REFERENCIAS!A$3:D$90,2,FALSE)</f>
        <v>INSTALACION DESCARGADOR</v>
      </c>
      <c r="F1123" s="3">
        <f>F1121</f>
        <v>1</v>
      </c>
      <c r="G1123" s="2" t="s">
        <v>18</v>
      </c>
      <c r="H1123" s="40">
        <f>VLOOKUP($D1123,PRECIOS_REFERENCIAS!A$3:D$90,4,FALSE)</f>
        <v>64.403155112394401</v>
      </c>
      <c r="I1123" s="6">
        <f>H1123*F1123</f>
        <v>64.403155112394401</v>
      </c>
    </row>
    <row r="1124" spans="1:9" hidden="1" outlineLevel="2">
      <c r="A1124" s="23"/>
      <c r="B1124" s="2"/>
      <c r="C1124" s="7"/>
      <c r="D1124" s="2"/>
      <c r="E1124" s="5" t="str">
        <f>VLOOKUP($D1123,PRECIOS_REFERENCIAS!A$3:D$90,3,FALSE)</f>
        <v>INSTALACIÓN DE PROTECCIÓN CONTRA SOBRETENSIONES</v>
      </c>
      <c r="F1124" s="3"/>
      <c r="G1124" s="2"/>
      <c r="H1124" s="40"/>
      <c r="I1124" s="6"/>
    </row>
    <row r="1125" spans="1:9" hidden="1" outlineLevel="2">
      <c r="A1125" s="24" t="s">
        <v>655</v>
      </c>
      <c r="B1125" s="2" t="s">
        <v>79</v>
      </c>
      <c r="C1125" s="2" t="s">
        <v>80</v>
      </c>
      <c r="D1125" s="2" t="s">
        <v>81</v>
      </c>
      <c r="E1125" s="39" t="str">
        <f>VLOOKUP($D1125,PRECIOS_REFERENCIAS!A$3:D$90,2,FALSE)</f>
        <v>PLANIFICACION</v>
      </c>
      <c r="F1125" s="3">
        <v>1</v>
      </c>
      <c r="G1125" s="2" t="s">
        <v>18</v>
      </c>
      <c r="H1125" s="40">
        <f>VLOOKUP($D1125,PRECIOS_REFERENCIAS!A$3:D$90,4,FALSE)</f>
        <v>40</v>
      </c>
      <c r="I1125" s="6">
        <f>H1125*F1125</f>
        <v>40</v>
      </c>
    </row>
    <row r="1126" spans="1:9" hidden="1" outlineLevel="2">
      <c r="A1126" s="23"/>
      <c r="B1126" s="2"/>
      <c r="C1126" s="2"/>
      <c r="D1126" s="2"/>
      <c r="E1126" s="5" t="str">
        <f>VLOOKUP($D1125,PRECIOS_REFERENCIAS!A$3:D$90,3,FALSE)</f>
        <v>PLANIFICACIÓN DE LOS TRABAJOS Y DESCARGA EN LOCAL DEL PROGRAMA DEL PLC</v>
      </c>
      <c r="F1126" s="3"/>
      <c r="G1126" s="2"/>
      <c r="H1126" s="40"/>
      <c r="I1126" s="6"/>
    </row>
    <row r="1127" spans="1:9" hidden="1" outlineLevel="2">
      <c r="A1127" s="24" t="s">
        <v>656</v>
      </c>
      <c r="B1127" s="2" t="s">
        <v>83</v>
      </c>
      <c r="C1127" s="2" t="s">
        <v>80</v>
      </c>
      <c r="D1127" s="2" t="s">
        <v>80</v>
      </c>
      <c r="E1127" s="39" t="str">
        <f>VLOOKUP($D1127,PRECIOS_REFERENCIAS!A$3:D$90,2,FALSE)</f>
        <v>INGENIERIA + ESQUEMAS</v>
      </c>
      <c r="F1127" s="3">
        <v>1</v>
      </c>
      <c r="G1127" s="2" t="s">
        <v>18</v>
      </c>
      <c r="H1127" s="40">
        <f>VLOOKUP($D1127,PRECIOS_REFERENCIAS!A$3:D$90,4,FALSE)</f>
        <v>300</v>
      </c>
      <c r="I1127" s="6">
        <f>H1127*F1127</f>
        <v>300</v>
      </c>
    </row>
    <row r="1128" spans="1:9" ht="22.5" hidden="1" outlineLevel="2">
      <c r="A1128" s="23"/>
      <c r="B1128" s="2"/>
      <c r="C1128" s="2"/>
      <c r="D1128" s="2"/>
      <c r="E1128" s="5" t="str">
        <f>VLOOKUP($D1127,PRECIOS_REFERENCIAS!A$3:D$90,3,FALSE)</f>
        <v>INGENIERÍA DE ACTUALIZACIÓN DE ESQUEMAS ELÉCTRICOS. INCLUYE LA REVISIÓN LOCAL DE LOS CUADROS Y ELEMENTOS DE CONTROL, ASÍ COMO LA COMPROBACIÓN DE LAS SEÑALES DE CONTROL.</v>
      </c>
      <c r="F1128" s="3"/>
      <c r="G1128" s="2"/>
      <c r="H1128" s="40"/>
      <c r="I1128" s="6"/>
    </row>
    <row r="1129" spans="1:9" hidden="1" outlineLevel="2">
      <c r="A1129" s="24" t="s">
        <v>657</v>
      </c>
      <c r="B1129" s="2" t="s">
        <v>88</v>
      </c>
      <c r="C1129" s="2" t="s">
        <v>80</v>
      </c>
      <c r="D1129" s="2" t="s">
        <v>89</v>
      </c>
      <c r="E1129" s="39" t="str">
        <f>VLOOKUP($D1129,PRECIOS_REFERENCIAS!A$3:D$90,2,FALSE)</f>
        <v>PROGRAMA PLC NUEVO</v>
      </c>
      <c r="F1129" s="3">
        <v>1</v>
      </c>
      <c r="G1129" s="2" t="s">
        <v>18</v>
      </c>
      <c r="H1129" s="40">
        <f>VLOOKUP($D1129,PRECIOS_REFERENCIAS!A$3:D$90,4,FALSE)</f>
        <v>407.75660964439658</v>
      </c>
      <c r="I1129" s="6">
        <f>H1129*F1129</f>
        <v>407.75660964439658</v>
      </c>
    </row>
    <row r="1130" spans="1:9" hidden="1" outlineLevel="2">
      <c r="A1130" s="23"/>
      <c r="B1130" s="2"/>
      <c r="C1130" s="2"/>
      <c r="D1130" s="2"/>
      <c r="E1130" s="5" t="str">
        <f>VLOOKUP($D1129,PRECIOS_REFERENCIAS!A$3:D$90,3,FALSE)</f>
        <v>MIGRACION DEL PROGRAMA ACTUAL A LA NUEVA PLATAFORMA DE PROGRAMACION</v>
      </c>
      <c r="I1130" s="6"/>
    </row>
    <row r="1131" spans="1:9" hidden="1" outlineLevel="2">
      <c r="A1131" s="24" t="s">
        <v>658</v>
      </c>
      <c r="B1131" s="2" t="s">
        <v>94</v>
      </c>
      <c r="C1131" s="2" t="s">
        <v>80</v>
      </c>
      <c r="D1131" s="2" t="s">
        <v>95</v>
      </c>
      <c r="E1131" s="39" t="str">
        <f>VLOOKUP($D1131,PRECIOS_REFERENCIAS!A$3:D$90,2,FALSE)</f>
        <v>PEM REMOTA</v>
      </c>
      <c r="F1131" s="3">
        <v>1</v>
      </c>
      <c r="G1131" s="2" t="s">
        <v>18</v>
      </c>
      <c r="H1131" s="40">
        <f>VLOOKUP($D1131,PRECIOS_REFERENCIAS!A$3:D$90,4,FALSE)</f>
        <v>851.7</v>
      </c>
      <c r="I1131" s="6">
        <f>H1131*F1131</f>
        <v>851.7</v>
      </c>
    </row>
    <row r="1132" spans="1:9" hidden="1" outlineLevel="2">
      <c r="A1132" s="23"/>
      <c r="B1132" s="2"/>
      <c r="C1132" s="2"/>
      <c r="D1132" s="2"/>
      <c r="E1132" s="5" t="str">
        <f>VLOOKUP($D1131,PRECIOS_REFERENCIAS!A$3:D$90,3,FALSE)</f>
        <v>PUESTA EN MARCHA DEL PROGRAMA DE CONTROL LOCAL</v>
      </c>
      <c r="F1132" s="3"/>
      <c r="G1132" s="2"/>
      <c r="H1132" s="40"/>
      <c r="I1132" s="6"/>
    </row>
    <row r="1133" spans="1:9" hidden="1" outlineLevel="2">
      <c r="A1133" s="24" t="s">
        <v>659</v>
      </c>
      <c r="B1133" s="2" t="s">
        <v>97</v>
      </c>
      <c r="C1133" s="2" t="s">
        <v>80</v>
      </c>
      <c r="D1133" s="2" t="s">
        <v>98</v>
      </c>
      <c r="E1133" s="39" t="str">
        <f>VLOOKUP($D1133,PRECIOS_REFERENCIAS!A$3:D$90,2,FALSE)</f>
        <v>REVISION SCADA</v>
      </c>
      <c r="F1133" s="3">
        <v>1</v>
      </c>
      <c r="G1133" s="2" t="s">
        <v>18</v>
      </c>
      <c r="H1133" s="40">
        <f>VLOOKUP($D1133,PRECIOS_REFERENCIAS!A$3:D$90,4,FALSE)</f>
        <v>60</v>
      </c>
      <c r="I1133" s="6">
        <f>H1133*F1133</f>
        <v>60</v>
      </c>
    </row>
    <row r="1134" spans="1:9" hidden="1" outlineLevel="2">
      <c r="A1134" s="23"/>
      <c r="B1134" s="2"/>
      <c r="C1134" s="2"/>
      <c r="D1134" s="2"/>
      <c r="E1134" s="5" t="str">
        <f>VLOOKUP($D1133,PRECIOS_REFERENCIAS!A$3:D$90,3,FALSE)</f>
        <v>REVISIÓN DEL PROGRAMA DE SUPERVISIÓN SCADA</v>
      </c>
      <c r="I1134" s="6"/>
    </row>
    <row r="1135" spans="1:9" hidden="1" outlineLevel="2">
      <c r="A1135" s="24"/>
      <c r="B1135" s="2"/>
      <c r="C1135" s="2" t="s">
        <v>16</v>
      </c>
      <c r="D1135" s="2"/>
      <c r="E1135" s="76" t="str">
        <f>CONCATENATE(E1090," - TOTAL HARDWARE")</f>
        <v>DERIVACION URTATZA - TOTAL HARDWARE</v>
      </c>
      <c r="F1135" s="74"/>
      <c r="G1135" s="74"/>
      <c r="H1135" s="74"/>
      <c r="I1135" s="75">
        <f>I1091+I1095+I1099+I1103+I1113+I1117+I1121+I1101</f>
        <v>2889.9381182073294</v>
      </c>
    </row>
    <row r="1136" spans="1:9" hidden="1" outlineLevel="2">
      <c r="A1136" s="23"/>
      <c r="B1136" s="2"/>
      <c r="C1136" s="2" t="s">
        <v>21</v>
      </c>
      <c r="D1136" s="2"/>
      <c r="E1136" s="76" t="str">
        <f>CONCATENATE(E1090," - TOTAL INSTALACION")</f>
        <v>DERIVACION URTATZA - TOTAL INSTALACION</v>
      </c>
      <c r="F1136" s="74"/>
      <c r="G1136" s="74"/>
      <c r="H1136" s="74"/>
      <c r="I1136" s="75">
        <f>I1093+I1097+I1105+I1109+I1107+I1111+I1115+I1119+I1123</f>
        <v>990.69800804875536</v>
      </c>
    </row>
    <row r="1137" spans="1:10" hidden="1" outlineLevel="2">
      <c r="A1137" s="23"/>
      <c r="B1137" s="2"/>
      <c r="C1137" s="2" t="s">
        <v>80</v>
      </c>
      <c r="D1137" s="2"/>
      <c r="E1137" s="76" t="str">
        <f>CONCATENATE(E1090," - TOTAL INGENIERIA")</f>
        <v>DERIVACION URTATZA - TOTAL INGENIERIA</v>
      </c>
      <c r="F1137" s="74"/>
      <c r="G1137" s="74"/>
      <c r="H1137" s="74"/>
      <c r="I1137" s="75">
        <f>I1125+I1127+I1129+I1131+I1133</f>
        <v>1659.4566096443966</v>
      </c>
      <c r="J1137" s="22">
        <f>SUM(I1135:I1137)</f>
        <v>5540.0927359004818</v>
      </c>
    </row>
    <row r="1138" spans="1:10" hidden="1" outlineLevel="2">
      <c r="A1138" s="24"/>
      <c r="E1138" s="41" t="s">
        <v>660</v>
      </c>
      <c r="F1138" s="41"/>
      <c r="G1138" s="41"/>
      <c r="H1138" s="41"/>
      <c r="I1138" s="42">
        <f>SUM(I1091:I1134)</f>
        <v>5540.0927359004827</v>
      </c>
    </row>
    <row r="1139" spans="1:10" hidden="1" outlineLevel="1">
      <c r="E1139" s="1" t="str">
        <f>CONCATENATE("TOTAL ",A4)</f>
        <v xml:space="preserve">TOTAL CAP.01       </v>
      </c>
      <c r="F1139" s="1"/>
      <c r="G1139" s="1"/>
      <c r="H1139" s="1"/>
      <c r="I1139" s="9">
        <f>I83+I118+I159+I218+I289+I360+I419+I498+I565+I634+I691+I762+I829+I898+I955+I1020+I1089+I1138</f>
        <v>135179.06587603301</v>
      </c>
    </row>
    <row r="1140" spans="1:10" collapsed="1">
      <c r="A1140" s="67" t="s">
        <v>661</v>
      </c>
      <c r="B1140" s="68"/>
      <c r="C1140" s="68"/>
      <c r="D1140" s="68"/>
      <c r="E1140" s="69" t="s">
        <v>662</v>
      </c>
      <c r="F1140" s="68"/>
      <c r="G1140" s="68" t="s">
        <v>11</v>
      </c>
      <c r="H1140" s="70"/>
      <c r="I1140" s="71">
        <f>I1272</f>
        <v>45968.104553138219</v>
      </c>
    </row>
    <row r="1141" spans="1:10" ht="12" hidden="1" customHeight="1" outlineLevel="1" collapsed="1">
      <c r="A1141" s="44" t="s">
        <v>663</v>
      </c>
      <c r="B1141" s="44"/>
      <c r="C1141" s="44"/>
      <c r="D1141" s="44"/>
      <c r="E1141" s="43" t="s">
        <v>664</v>
      </c>
      <c r="F1141" s="44"/>
      <c r="G1141" s="44" t="s">
        <v>11</v>
      </c>
      <c r="H1141" s="45"/>
      <c r="I1141" s="64">
        <f>I1205</f>
        <v>15811.066635270423</v>
      </c>
    </row>
    <row r="1142" spans="1:10" hidden="1" outlineLevel="2">
      <c r="A1142" s="24" t="s">
        <v>665</v>
      </c>
      <c r="B1142" s="2" t="s">
        <v>15</v>
      </c>
      <c r="C1142" s="2" t="s">
        <v>16</v>
      </c>
      <c r="D1142" s="2" t="s">
        <v>666</v>
      </c>
      <c r="E1142" s="39" t="str">
        <f>VLOOKUP($D1142,PRECIOS_REFERENCIAS!A$3:D$98,2,FALSE)</f>
        <v>PERFIL 1500 830 mm</v>
      </c>
      <c r="F1142" s="3">
        <v>1</v>
      </c>
      <c r="G1142" s="2" t="s">
        <v>18</v>
      </c>
      <c r="H1142" s="40">
        <f>VLOOKUP($D1142,PRECIOS_REFERENCIAS!A$3:D$90,4,FALSE)</f>
        <v>45.532499999999999</v>
      </c>
      <c r="I1142" s="6">
        <f>H1142*F1142</f>
        <v>45.532499999999999</v>
      </c>
    </row>
    <row r="1143" spans="1:10" hidden="1" outlineLevel="2">
      <c r="A1143" s="23"/>
      <c r="B1143" s="2"/>
      <c r="C1143" s="2"/>
      <c r="D1143" s="2"/>
      <c r="E1143" s="5" t="str">
        <f>VLOOKUP($D1142,PRECIOS_REFERENCIAS!A$3:D$98,3,FALSE)</f>
        <v>S7-1500 PERFIL 830 MM // 6ES7590-1AJ30-0AA0</v>
      </c>
      <c r="F1143" s="3"/>
      <c r="G1143" s="2"/>
      <c r="H1143" s="40"/>
      <c r="I1143" s="6"/>
    </row>
    <row r="1144" spans="1:10" hidden="1" outlineLevel="2">
      <c r="A1144" s="24" t="s">
        <v>667</v>
      </c>
      <c r="B1144" s="2" t="s">
        <v>20</v>
      </c>
      <c r="C1144" s="2" t="s">
        <v>21</v>
      </c>
      <c r="D1144" s="2" t="s">
        <v>22</v>
      </c>
      <c r="E1144" s="39" t="str">
        <f>VLOOKUP($D1144,PRECIOS_REFERENCIAS!A$3:D$98,2,FALSE)</f>
        <v xml:space="preserve">INSTALACION CARRIL DIN </v>
      </c>
      <c r="F1144" s="3">
        <v>1</v>
      </c>
      <c r="G1144" s="2" t="s">
        <v>18</v>
      </c>
      <c r="H1144" s="40">
        <f>VLOOKUP($D1144,PRECIOS_REFERENCIAS!A$3:D$90,4,FALSE)</f>
        <v>35.402252939916011</v>
      </c>
      <c r="I1144" s="6">
        <f>H1144*F1144</f>
        <v>35.402252939916011</v>
      </c>
    </row>
    <row r="1145" spans="1:10" hidden="1" outlineLevel="2">
      <c r="A1145" s="23"/>
      <c r="B1145" s="2"/>
      <c r="C1145" s="2"/>
      <c r="D1145" s="2"/>
      <c r="E1145" s="5" t="str">
        <f>VLOOKUP($D1144,PRECIOS_REFERENCIAS!A$3:D$98,3,FALSE)</f>
        <v>SUSTITUCIÓN DE PERFIL SOPORTE DE PLC EXISTENTE POR NUEVO PERFIL DE PLC DEFINIDO, DENTRO DEL ARMARIO ELÉCTRICO ACTUAL.</v>
      </c>
      <c r="F1145" s="3"/>
      <c r="G1145" s="2"/>
      <c r="H1145" s="40"/>
      <c r="I1145" s="6"/>
    </row>
    <row r="1146" spans="1:10" hidden="1" outlineLevel="2">
      <c r="A1146" s="24" t="s">
        <v>668</v>
      </c>
      <c r="B1146" s="2" t="s">
        <v>24</v>
      </c>
      <c r="C1146" s="2" t="s">
        <v>16</v>
      </c>
      <c r="D1146" s="2" t="s">
        <v>24</v>
      </c>
      <c r="E1146" s="39" t="str">
        <f>VLOOKUP($D1146,PRECIOS_REFERENCIAS!A$3:D$98,2,FALSE)</f>
        <v>SUMINISTRO DE FUENTE ALIMENTACIÓN CPU 1500</v>
      </c>
      <c r="F1146" s="3">
        <v>1</v>
      </c>
      <c r="G1146" s="2" t="s">
        <v>18</v>
      </c>
      <c r="H1146" s="40">
        <f>VLOOKUP($D1146,PRECIOS_REFERENCIAS!A$3:D$100,4,FALSE)</f>
        <v>180.01500000000001</v>
      </c>
      <c r="I1146" s="6">
        <f>H1146*F1146</f>
        <v>180.01500000000001</v>
      </c>
    </row>
    <row r="1147" spans="1:10" hidden="1" outlineLevel="2">
      <c r="A1147" s="23"/>
      <c r="B1147" s="38"/>
      <c r="C1147" s="38"/>
      <c r="D1147" s="38"/>
      <c r="E1147" s="5" t="str">
        <f>VLOOKUP($D1146,PRECIOS_REFERENCIAS!A$3:D$98,3,FALSE)</f>
        <v>SITOP PSU6200 24 V/10 A //6EP3334-7SB00-3AX0  </v>
      </c>
      <c r="F1147" s="7"/>
      <c r="G1147" s="7"/>
      <c r="I1147" s="6"/>
    </row>
    <row r="1148" spans="1:10" hidden="1" outlineLevel="2">
      <c r="A1148" s="24" t="s">
        <v>669</v>
      </c>
      <c r="B1148" s="2" t="s">
        <v>26</v>
      </c>
      <c r="C1148" s="2" t="s">
        <v>16</v>
      </c>
      <c r="D1148" s="2" t="s">
        <v>26</v>
      </c>
      <c r="E1148" s="39" t="str">
        <f>VLOOKUP($D1148,PRECIOS_REFERENCIAS!A$3:D$98,2,FALSE)</f>
        <v>SUMINISTRO DE CPU CONCENTRADOR</v>
      </c>
      <c r="F1148" s="3">
        <v>1</v>
      </c>
      <c r="G1148" s="2" t="s">
        <v>18</v>
      </c>
      <c r="H1148" s="40">
        <f>VLOOKUP($D1148,PRECIOS_REFERENCIAS!A$3:D$100,4,FALSE)</f>
        <v>2648.7150000000001</v>
      </c>
      <c r="I1148" s="6">
        <f>H1148*F1148</f>
        <v>2648.7150000000001</v>
      </c>
    </row>
    <row r="1149" spans="1:10" hidden="1" outlineLevel="2">
      <c r="A1149" s="23"/>
      <c r="B1149" s="7"/>
      <c r="C1149" s="38"/>
      <c r="D1149" s="7"/>
      <c r="E1149" s="5" t="str">
        <f>VLOOKUP($D1148,PRECIOS_REFERENCIAS!A$3:D$98,3,FALSE)</f>
        <v>CPU 1515-2 PN, 1MB Prog., 4,5MB Data // 6ES7515-2AN03-0AB0</v>
      </c>
      <c r="F1149" s="7"/>
      <c r="G1149" s="7"/>
      <c r="I1149" s="6"/>
    </row>
    <row r="1150" spans="1:10" hidden="1" outlineLevel="2">
      <c r="A1150" s="24" t="s">
        <v>670</v>
      </c>
      <c r="B1150" s="2" t="s">
        <v>20</v>
      </c>
      <c r="C1150" s="2" t="s">
        <v>21</v>
      </c>
      <c r="D1150" s="2" t="s">
        <v>28</v>
      </c>
      <c r="E1150" s="39" t="str">
        <f>VLOOKUP($D1150,PRECIOS_REFERENCIAS!A$3:D$99,2,FALSE)</f>
        <v>INSTALACION CPU</v>
      </c>
      <c r="F1150" s="3">
        <v>1</v>
      </c>
      <c r="G1150" s="2" t="s">
        <v>18</v>
      </c>
      <c r="H1150" s="40">
        <f>VLOOKUP($D1150,PRECIOS_REFERENCIAS!A$3:D$100,4,FALSE)</f>
        <v>123.90076030798227</v>
      </c>
      <c r="I1150" s="6">
        <f>H1150*F1150</f>
        <v>123.90076030798227</v>
      </c>
    </row>
    <row r="1151" spans="1:10" hidden="1" outlineLevel="2">
      <c r="A1151" s="23"/>
      <c r="B1151" s="2"/>
      <c r="C1151" s="2"/>
      <c r="D1151" s="2"/>
      <c r="E1151" s="5" t="str">
        <f>VLOOKUP($D1150,PRECIOS_REFERENCIAS!A$3:D$99,3,FALSE)</f>
        <v>SUSTITUCIÓN DE CPU DE PLC EXISTENTE POR NUEVA CPU DE PLC DEFINIDA</v>
      </c>
      <c r="F1151" s="7"/>
      <c r="G1151" s="7"/>
      <c r="I1151" s="6"/>
    </row>
    <row r="1152" spans="1:10" hidden="1" outlineLevel="2">
      <c r="A1152" s="24" t="s">
        <v>671</v>
      </c>
      <c r="B1152" s="2" t="s">
        <v>30</v>
      </c>
      <c r="C1152" s="2" t="s">
        <v>16</v>
      </c>
      <c r="D1152" s="2" t="s">
        <v>31</v>
      </c>
      <c r="E1152" s="39" t="str">
        <f>VLOOKUP($D1152,PRECIOS_REFERENCIAS!A$3:D$99,2,FALSE)</f>
        <v>TARJETA DE MEMORIA S7-1500</v>
      </c>
      <c r="F1152" s="3">
        <v>1</v>
      </c>
      <c r="G1152" s="2" t="s">
        <v>18</v>
      </c>
      <c r="H1152" s="40">
        <f>VLOOKUP($D1152,PRECIOS_REFERENCIAS!A$3:D$100,4,FALSE)</f>
        <v>361.46999999999997</v>
      </c>
      <c r="I1152" s="6">
        <f>H1152*F1152</f>
        <v>361.46999999999997</v>
      </c>
    </row>
    <row r="1153" spans="1:9" hidden="1" outlineLevel="2">
      <c r="A1153" s="23"/>
      <c r="B1153" s="7"/>
      <c r="C1153" s="7"/>
      <c r="D1153" s="7"/>
      <c r="E1153" s="5" t="str">
        <f>VLOOKUP($D1152,PRECIOS_REFERENCIAS!A$3:D$99,3,FALSE)</f>
        <v>SIMATIC S7 Memory Card, 256 MB //6ES7954-8LL04-0AA0</v>
      </c>
      <c r="F1153" s="7"/>
      <c r="G1153" s="7"/>
      <c r="I1153" s="6"/>
    </row>
    <row r="1154" spans="1:9" hidden="1" outlineLevel="2">
      <c r="A1154" s="24" t="s">
        <v>672</v>
      </c>
      <c r="B1154" s="2" t="s">
        <v>673</v>
      </c>
      <c r="C1154" s="2" t="s">
        <v>16</v>
      </c>
      <c r="D1154" s="2" t="s">
        <v>674</v>
      </c>
      <c r="E1154" s="39" t="str">
        <f>VLOOKUP($D1154,PRECIOS_REFERENCIAS!A$3:D$98,2,FALSE)</f>
        <v>OPC UA SERVER</v>
      </c>
      <c r="F1154" s="3">
        <v>1</v>
      </c>
      <c r="G1154" s="2" t="s">
        <v>18</v>
      </c>
      <c r="H1154" s="40">
        <f>VLOOKUP($D1154,PRECIOS_REFERENCIAS!A$3:D$100,4,FALSE)</f>
        <v>225.9375</v>
      </c>
      <c r="I1154" s="6">
        <f>H1154*F1154</f>
        <v>225.9375</v>
      </c>
    </row>
    <row r="1155" spans="1:9" hidden="1" outlineLevel="2">
      <c r="A1155" s="23"/>
      <c r="B1155" s="7"/>
      <c r="C1155" s="7"/>
      <c r="D1155" s="7"/>
      <c r="E1155" s="5" t="str">
        <f>VLOOKUP($D1154,PRECIOS_REFERENCIAS!A$3:D$98,3,FALSE)</f>
        <v xml:space="preserve">SIMATIC OPC UA S7-1500 Medium DL //6ES7954-8LF03-0AA0 </v>
      </c>
      <c r="F1155" s="7"/>
      <c r="G1155" s="7"/>
      <c r="I1155" s="6"/>
    </row>
    <row r="1156" spans="1:9" hidden="1" outlineLevel="2">
      <c r="A1156" s="24" t="s">
        <v>675</v>
      </c>
      <c r="B1156" s="2" t="s">
        <v>39</v>
      </c>
      <c r="C1156" s="2" t="s">
        <v>16</v>
      </c>
      <c r="D1156" s="2" t="s">
        <v>39</v>
      </c>
      <c r="E1156" s="39" t="str">
        <f>VLOOKUP($D1156,PRECIOS_REFERENCIAS!A$3:D$99,2,FALSE)</f>
        <v>SUMINISTRO MÓDULO DE 32 SALIDAS DIGITALES</v>
      </c>
      <c r="F1156" s="3">
        <v>1</v>
      </c>
      <c r="G1156" s="2" t="s">
        <v>18</v>
      </c>
      <c r="H1156" s="40">
        <f>VLOOKUP($D1156,PRECIOS_REFERENCIAS!A$3:D$100,4,FALSE)</f>
        <v>439.43999999999994</v>
      </c>
      <c r="I1156" s="6">
        <f>H1156*F1156</f>
        <v>439.43999999999994</v>
      </c>
    </row>
    <row r="1157" spans="1:9" hidden="1" outlineLevel="2">
      <c r="A1157" s="23"/>
      <c r="B1157" s="7"/>
      <c r="C1157" s="7"/>
      <c r="D1157" s="7"/>
      <c r="E1157" s="5" t="str">
        <f>VLOOKUP($D1156,PRECIOS_REFERENCIAS!A$3:D$99,3,FALSE)</f>
        <v>SIMATIC S7-1500,  Módulo de 32 Salidas Digitales //  6ES7522-1BL01-0AB0</v>
      </c>
      <c r="F1157" s="7"/>
      <c r="G1157" s="7"/>
      <c r="I1157" s="6"/>
    </row>
    <row r="1158" spans="1:9" hidden="1" outlineLevel="2">
      <c r="A1158" s="24" t="s">
        <v>676</v>
      </c>
      <c r="B1158" s="2" t="s">
        <v>20</v>
      </c>
      <c r="C1158" s="2" t="s">
        <v>21</v>
      </c>
      <c r="D1158" s="2" t="s">
        <v>41</v>
      </c>
      <c r="E1158" s="39" t="str">
        <f>VLOOKUP($D1158,PRECIOS_REFERENCIAS!A$3:D$99,2,FALSE)</f>
        <v>INSTALACION SD</v>
      </c>
      <c r="F1158" s="3">
        <f>F1156</f>
        <v>1</v>
      </c>
      <c r="G1158" s="2" t="s">
        <v>18</v>
      </c>
      <c r="H1158" s="40">
        <f>VLOOKUP($D1158,PRECIOS_REFERENCIAS!A$3:D$100,4,FALSE)</f>
        <v>162.83522293745065</v>
      </c>
      <c r="I1158" s="6">
        <f>H1158*F1158</f>
        <v>162.83522293745065</v>
      </c>
    </row>
    <row r="1159" spans="1:9" hidden="1" outlineLevel="2">
      <c r="A1159" s="23"/>
      <c r="B1159" s="2"/>
      <c r="C1159" s="2"/>
      <c r="D1159" s="2"/>
      <c r="E1159" s="5" t="str">
        <f>VLOOKUP($D1158,PRECIOS_REFERENCIAS!A$3:D$99,3,FALSE)</f>
        <v>SUSTITUCIÓN DE MÓDULO DE E/S DIGITALES DE PLC EXISTENTE POR NUEVO MÓDULO DE PLC DEFINIDO. SALIDA DIGITAL 16</v>
      </c>
      <c r="F1159" s="7"/>
      <c r="G1159" s="7"/>
      <c r="I1159" s="6"/>
    </row>
    <row r="1160" spans="1:9" hidden="1" outlineLevel="2">
      <c r="A1160" s="24" t="s">
        <v>677</v>
      </c>
      <c r="B1160" s="2" t="s">
        <v>20</v>
      </c>
      <c r="C1160" s="2" t="s">
        <v>16</v>
      </c>
      <c r="D1160" s="2" t="s">
        <v>37</v>
      </c>
      <c r="E1160" s="39" t="str">
        <f>VLOOKUP($D1160,PRECIOS_REFERENCIAS!A$3:D$99,2,FALSE)</f>
        <v>SUMINISTRO ENCHUFE FRONTAL</v>
      </c>
      <c r="F1160" s="3">
        <f>F1156</f>
        <v>1</v>
      </c>
      <c r="G1160" s="2" t="s">
        <v>18</v>
      </c>
      <c r="H1160" s="40">
        <f>VLOOKUP($D1160,PRECIOS_REFERENCIAS!A$3:D$100,4,FALSE)</f>
        <v>34.987499999999997</v>
      </c>
      <c r="I1160" s="6">
        <f>H1160*F1160</f>
        <v>34.987499999999997</v>
      </c>
    </row>
    <row r="1161" spans="1:9" hidden="1" outlineLevel="2">
      <c r="A1161" s="23"/>
      <c r="B1161" s="2"/>
      <c r="C1161" s="2"/>
      <c r="D1161" s="2"/>
      <c r="E1161" s="5" t="str">
        <f>VLOOKUP($D1160,PRECIOS_REFERENCIAS!A$3:D$99,3,FALSE)</f>
        <v>Enchufe frontal Push-in (mód. de 35mm) // 6ES7592-1BM00-0XB0</v>
      </c>
      <c r="F1161" s="7"/>
      <c r="G1161" s="7"/>
      <c r="I1161" s="6"/>
    </row>
    <row r="1162" spans="1:9" hidden="1" outlineLevel="2">
      <c r="A1162" s="24" t="s">
        <v>678</v>
      </c>
      <c r="B1162" s="2" t="s">
        <v>213</v>
      </c>
      <c r="C1162" s="2" t="s">
        <v>16</v>
      </c>
      <c r="D1162" s="2" t="s">
        <v>258</v>
      </c>
      <c r="E1162" s="39" t="str">
        <f>VLOOKUP($D1162,PRECIOS_REFERENCIAS!A$3:D$99,2,FALSE)</f>
        <v>SWITCH SHDSL 2 PUERTOS + BYPASS</v>
      </c>
      <c r="F1162" s="3">
        <v>1</v>
      </c>
      <c r="G1162" s="2" t="s">
        <v>18</v>
      </c>
      <c r="H1162" s="40">
        <f>VLOOKUP($D1162,PRECIOS_REFERENCIAS!A$3:D$100,4,FALSE)</f>
        <v>1024.6500000000001</v>
      </c>
      <c r="I1162" s="6">
        <f>H1162*F1162</f>
        <v>1024.6500000000001</v>
      </c>
    </row>
    <row r="1163" spans="1:9" hidden="1" outlineLevel="2">
      <c r="A1163" s="23"/>
      <c r="B1163" s="2"/>
      <c r="C1163" s="2"/>
      <c r="D1163" s="2"/>
      <c r="E1163" s="5" t="str">
        <f>VLOOKUP($D1162,PRECIOS_REFERENCIAS!A$3:D$99,3,FALSE)</f>
        <v>SWITCH XSLAN+BP2400 O SIMILAR</v>
      </c>
      <c r="F1163" s="7"/>
      <c r="G1163" s="7"/>
      <c r="I1163" s="6"/>
    </row>
    <row r="1164" spans="1:9" hidden="1" outlineLevel="2">
      <c r="A1164" s="24" t="s">
        <v>679</v>
      </c>
      <c r="B1164" s="2" t="s">
        <v>20</v>
      </c>
      <c r="C1164" s="2" t="s">
        <v>21</v>
      </c>
      <c r="D1164" s="2" t="s">
        <v>61</v>
      </c>
      <c r="E1164" s="39" t="str">
        <f>VLOOKUP($D1164,PRECIOS_REFERENCIAS!A$3:D$99,2,FALSE)</f>
        <v>INSTALACION SWITCH SHDSL</v>
      </c>
      <c r="F1164" s="3">
        <f>F1162</f>
        <v>1</v>
      </c>
      <c r="G1164" s="2" t="s">
        <v>18</v>
      </c>
      <c r="H1164" s="40">
        <f>VLOOKUP($D1164,PRECIOS_REFERENCIAS!A$3:D$100,4,FALSE)</f>
        <v>40</v>
      </c>
      <c r="I1164" s="6">
        <f>H1164*F1164</f>
        <v>40</v>
      </c>
    </row>
    <row r="1165" spans="1:9" hidden="1" outlineLevel="2">
      <c r="A1165" s="23"/>
      <c r="B1165" s="2"/>
      <c r="C1165" s="2"/>
      <c r="D1165" s="2"/>
      <c r="E1165" s="5" t="str">
        <f>VLOOKUP($D1164,PRECIOS_REFERENCIAS!A$3:D$99,3,FALSE)</f>
        <v>INSTALACIÓN DE ROUTER</v>
      </c>
      <c r="F1165" s="7"/>
      <c r="G1165" s="7"/>
      <c r="I1165" s="6"/>
    </row>
    <row r="1166" spans="1:9" hidden="1" outlineLevel="2">
      <c r="A1166" s="24" t="s">
        <v>680</v>
      </c>
      <c r="B1166" s="2" t="s">
        <v>63</v>
      </c>
      <c r="C1166" s="2" t="s">
        <v>16</v>
      </c>
      <c r="D1166" s="2" t="s">
        <v>63</v>
      </c>
      <c r="E1166" s="39" t="str">
        <f>VLOOKUP($D1166,PRECIOS_REFERENCIAS!A$3:D$99,2,FALSE)</f>
        <v>DESCARGADOR DE SOBRETENSIONES LÍNEA SHDSL</v>
      </c>
      <c r="F1166" s="3">
        <v>1</v>
      </c>
      <c r="G1166" s="2" t="s">
        <v>18</v>
      </c>
      <c r="H1166" s="40">
        <f>VLOOKUP($D1166,PRECIOS_REFERENCIAS!A$3:D$100,4,FALSE)</f>
        <v>187</v>
      </c>
      <c r="I1166" s="6">
        <f>H1166*F1166</f>
        <v>187</v>
      </c>
    </row>
    <row r="1167" spans="1:9" hidden="1" outlineLevel="2">
      <c r="A1167" s="23"/>
      <c r="B1167" s="2"/>
      <c r="C1167" s="2"/>
      <c r="D1167" s="2"/>
      <c r="E1167" s="5" t="str">
        <f>VLOOKUP($D1166,PRECIOS_REFERENCIAS!A$3:D$99,3,FALSE)</f>
        <v>Equipo DT-TELE-SHDSL de Phoenix Contact con 2 puertos para conexión SHDSL</v>
      </c>
      <c r="F1167" s="7"/>
      <c r="G1167" s="7"/>
      <c r="I1167" s="6"/>
    </row>
    <row r="1168" spans="1:9" hidden="1" outlineLevel="2">
      <c r="A1168" s="24" t="s">
        <v>681</v>
      </c>
      <c r="B1168" s="2" t="s">
        <v>20</v>
      </c>
      <c r="C1168" s="2" t="s">
        <v>21</v>
      </c>
      <c r="D1168" s="2" t="s">
        <v>65</v>
      </c>
      <c r="E1168" s="39" t="str">
        <f>VLOOKUP($D1168,PRECIOS_REFERENCIAS!A$3:D$99,2,FALSE)</f>
        <v>INSTALACION DESCARGADOR</v>
      </c>
      <c r="F1168" s="3">
        <f>F1166</f>
        <v>1</v>
      </c>
      <c r="G1168" s="2" t="s">
        <v>18</v>
      </c>
      <c r="H1168" s="40">
        <f>VLOOKUP($D1168,PRECIOS_REFERENCIAS!A$3:D$100,4,FALSE)</f>
        <v>64.403155112394401</v>
      </c>
      <c r="I1168" s="6">
        <f>H1168*F1168</f>
        <v>64.403155112394401</v>
      </c>
    </row>
    <row r="1169" spans="1:9" hidden="1" outlineLevel="2">
      <c r="A1169" s="23"/>
      <c r="B1169" s="2"/>
      <c r="C1169" s="2"/>
      <c r="D1169" s="2"/>
      <c r="E1169" s="5" t="str">
        <f>VLOOKUP($D1168,PRECIOS_REFERENCIAS!A$3:D$99,3,FALSE)</f>
        <v>INSTALACIÓN DE PROTECCIÓN CONTRA SOBRETENSIONES</v>
      </c>
      <c r="F1169" s="7"/>
      <c r="G1169" s="7"/>
      <c r="I1169" s="6"/>
    </row>
    <row r="1170" spans="1:9" hidden="1" outlineLevel="2">
      <c r="A1170" s="24" t="s">
        <v>682</v>
      </c>
      <c r="B1170" s="2" t="s">
        <v>683</v>
      </c>
      <c r="C1170" s="2" t="s">
        <v>16</v>
      </c>
      <c r="D1170" s="2" t="s">
        <v>683</v>
      </c>
      <c r="E1170" s="39" t="str">
        <f>VLOOKUP($D1170,PRECIOS_REFERENCIAS!A$3:D$99,2,FALSE)</f>
        <v>ROUTER CONCENTRADOR VPN 4G</v>
      </c>
      <c r="F1170" s="3">
        <v>1</v>
      </c>
      <c r="G1170" s="2" t="s">
        <v>18</v>
      </c>
      <c r="H1170" s="40">
        <f>VLOOKUP($D1170,PRECIOS_REFERENCIAS!A$3:D$100,4,FALSE)</f>
        <v>1401.56</v>
      </c>
      <c r="I1170" s="6">
        <f>H1170*F1170</f>
        <v>1401.56</v>
      </c>
    </row>
    <row r="1171" spans="1:9" hidden="1" outlineLevel="2">
      <c r="A1171" s="23"/>
      <c r="B1171" s="2"/>
      <c r="C1171" s="2"/>
      <c r="D1171" s="2"/>
      <c r="E1171" s="5" t="str">
        <f>VLOOKUP($D1170,PRECIOS_REFERENCIAS!A$3:D$99,3,FALSE)</f>
        <v>ROUTER SIG-EC-400-LW O SIMILAR</v>
      </c>
      <c r="F1171" s="7"/>
      <c r="G1171" s="7"/>
      <c r="I1171" s="6"/>
    </row>
    <row r="1172" spans="1:9" hidden="1" outlineLevel="2">
      <c r="A1172" s="24" t="s">
        <v>684</v>
      </c>
      <c r="B1172" s="2" t="s">
        <v>20</v>
      </c>
      <c r="C1172" s="2" t="s">
        <v>21</v>
      </c>
      <c r="D1172" s="2" t="s">
        <v>69</v>
      </c>
      <c r="E1172" s="39" t="str">
        <f>VLOOKUP($D1172,PRECIOS_REFERENCIAS!A$3:D$99,2,FALSE)</f>
        <v>INSTALACION ROUTER 4G</v>
      </c>
      <c r="F1172" s="3">
        <f>F1170</f>
        <v>1</v>
      </c>
      <c r="G1172" s="2" t="s">
        <v>18</v>
      </c>
      <c r="H1172" s="40">
        <f>VLOOKUP($D1172,PRECIOS_REFERENCIAS!A$3:D$100,4,FALSE)</f>
        <v>40</v>
      </c>
      <c r="I1172" s="6">
        <f>H1172*F1172</f>
        <v>40</v>
      </c>
    </row>
    <row r="1173" spans="1:9" hidden="1" outlineLevel="2">
      <c r="A1173" s="23"/>
      <c r="B1173" s="2"/>
      <c r="C1173" s="2"/>
      <c r="D1173" s="2"/>
      <c r="E1173" s="5" t="str">
        <f>VLOOKUP($D1172,PRECIOS_REFERENCIAS!A$3:D$99,3,FALSE)</f>
        <v>INSTALACIÓN DE ROUTER 4G</v>
      </c>
      <c r="F1173" s="7"/>
      <c r="G1173" s="7"/>
      <c r="I1173" s="6"/>
    </row>
    <row r="1174" spans="1:9" hidden="1" outlineLevel="2">
      <c r="A1174" s="24" t="s">
        <v>685</v>
      </c>
      <c r="B1174" s="2" t="s">
        <v>686</v>
      </c>
      <c r="C1174" s="2" t="s">
        <v>16</v>
      </c>
      <c r="D1174" s="2" t="s">
        <v>686</v>
      </c>
      <c r="E1174" s="39" t="str">
        <f>VLOOKUP($D1174,PRECIOS_REFERENCIAS!A$3:D$99,2,FALSE)</f>
        <v>ANTENA 4G NORMAL</v>
      </c>
      <c r="F1174" s="3">
        <v>1</v>
      </c>
      <c r="G1174" s="2" t="s">
        <v>18</v>
      </c>
      <c r="H1174" s="40">
        <f>VLOOKUP($D1174,PRECIOS_REFERENCIAS!A$3:D$100,4,FALSE)</f>
        <v>10.71</v>
      </c>
      <c r="I1174" s="6">
        <f>H1174*F1174</f>
        <v>10.71</v>
      </c>
    </row>
    <row r="1175" spans="1:9" hidden="1" outlineLevel="2">
      <c r="A1175" s="23"/>
      <c r="E1175" s="5" t="str">
        <f>VLOOKUP($D1174,PRECIOS_REFERENCIAS!A$3:D$99,3,FALSE)</f>
        <v>ANTENA 305</v>
      </c>
      <c r="I1175" s="6"/>
    </row>
    <row r="1176" spans="1:9" hidden="1" outlineLevel="2">
      <c r="A1176" s="24" t="s">
        <v>687</v>
      </c>
      <c r="B1176" s="2" t="s">
        <v>79</v>
      </c>
      <c r="C1176" s="2" t="s">
        <v>80</v>
      </c>
      <c r="D1176" s="2" t="s">
        <v>688</v>
      </c>
      <c r="E1176" s="39" t="str">
        <f>VLOOKUP($D1176,PRECIOS_REFERENCIAS!A$3:D$90,2,FALSE)</f>
        <v xml:space="preserve">PLANIFICACION </v>
      </c>
      <c r="F1176" s="3">
        <v>1</v>
      </c>
      <c r="G1176" s="2" t="s">
        <v>18</v>
      </c>
      <c r="H1176" s="40">
        <f>VLOOKUP($D1176,PRECIOS_REFERENCIAS!A$3:D$90,4,FALSE)</f>
        <v>300</v>
      </c>
      <c r="I1176" s="6">
        <f>H1176*F1176</f>
        <v>300</v>
      </c>
    </row>
    <row r="1177" spans="1:9" hidden="1" outlineLevel="2">
      <c r="A1177" s="23"/>
      <c r="B1177" s="2"/>
      <c r="C1177" s="2"/>
      <c r="D1177" s="2"/>
      <c r="E1177" s="5" t="str">
        <f>VLOOKUP($D1176,PRECIOS_REFERENCIAS!A$3:D$90,3,FALSE)</f>
        <v>PLANIFICACIÓN DE LOS TRABAJOS Y DESCARGA EN LOCAL DEL PROGRAMA DEL PLC</v>
      </c>
      <c r="F1177" s="3"/>
      <c r="G1177" s="2"/>
      <c r="H1177" s="40"/>
      <c r="I1177" s="6"/>
    </row>
    <row r="1178" spans="1:9" hidden="1" outlineLevel="2">
      <c r="A1178" s="24" t="s">
        <v>689</v>
      </c>
      <c r="B1178" s="2" t="s">
        <v>83</v>
      </c>
      <c r="C1178" s="2" t="s">
        <v>80</v>
      </c>
      <c r="D1178" s="2" t="s">
        <v>690</v>
      </c>
      <c r="E1178" s="39" t="str">
        <f>VLOOKUP($D1178,PRECIOS_REFERENCIAS!A$3:D$90,2,FALSE)</f>
        <v>INGENIERIA + ESQUEMAS</v>
      </c>
      <c r="F1178" s="3">
        <v>1</v>
      </c>
      <c r="G1178" s="2" t="s">
        <v>18</v>
      </c>
      <c r="H1178" s="40">
        <f>VLOOKUP($D1178,PRECIOS_REFERENCIAS!A$3:D$90,4,FALSE)</f>
        <v>1000</v>
      </c>
      <c r="I1178" s="6">
        <f>H1178*F1178</f>
        <v>1000</v>
      </c>
    </row>
    <row r="1179" spans="1:9" ht="22.5" hidden="1" outlineLevel="2">
      <c r="A1179" s="23"/>
      <c r="B1179" s="2"/>
      <c r="C1179" s="2"/>
      <c r="D1179" s="2"/>
      <c r="E1179" s="5" t="str">
        <f>VLOOKUP($D1178,PRECIOS_REFERENCIAS!A$3:D$90,3,FALSE)</f>
        <v>INGENIERÍA DE ACTUALIZACIÓN DE ESQUEMAS ELÉCTRICOS. INCLUYE LA REVISIÓN LOCAL DE LOS CUADROS Y ELEMENTOS DE CONTROL, ASÍ COMO LA COMPROBACIÓN DE LAS SEÑALES DE CONTROL.</v>
      </c>
      <c r="F1179" s="3"/>
      <c r="G1179" s="2"/>
      <c r="H1179" s="40"/>
      <c r="I1179" s="6"/>
    </row>
    <row r="1180" spans="1:9" hidden="1" outlineLevel="2">
      <c r="A1180" s="24" t="s">
        <v>691</v>
      </c>
      <c r="B1180" s="2" t="s">
        <v>88</v>
      </c>
      <c r="C1180" s="2" t="s">
        <v>80</v>
      </c>
      <c r="D1180" s="2" t="s">
        <v>692</v>
      </c>
      <c r="E1180" s="39" t="str">
        <f>VLOOKUP($D1180,PRECIOS_REFERENCIAS!A$3:D$90,2,FALSE)</f>
        <v>PROGRAMA PLC FE</v>
      </c>
      <c r="F1180" s="3">
        <v>1</v>
      </c>
      <c r="G1180" s="2" t="s">
        <v>18</v>
      </c>
      <c r="H1180" s="40">
        <f>VLOOKUP($D1180,PRECIOS_REFERENCIAS!A$3:D$90,4,FALSE)</f>
        <v>3200</v>
      </c>
      <c r="I1180" s="6">
        <f>H1180*F1180</f>
        <v>3200</v>
      </c>
    </row>
    <row r="1181" spans="1:9" ht="22.5" hidden="1" outlineLevel="2">
      <c r="A1181" s="23"/>
      <c r="B1181" s="2"/>
      <c r="C1181" s="2"/>
      <c r="D1181" s="2"/>
      <c r="E1181" s="5" t="str">
        <f>VLOOKUP($D1180,PRECIOS_REFERENCIAS!A$3:D$90,3,FALSE)</f>
        <v>CONFIGURACIÓN, PARAMETRIZACIÓN Y PUESTA EN MARCHA DE COMUNICACIONES ENTRE EL FRONT END DEL PUESTO DE CONTROL CENTRAL (PCC) Y EL PLC, INCLUYENDO PRUEBAS EN TALLER Y EMPLAZAMIENTO</v>
      </c>
      <c r="I1181" s="6"/>
    </row>
    <row r="1182" spans="1:9" hidden="1" outlineLevel="2">
      <c r="A1182" s="24" t="s">
        <v>693</v>
      </c>
      <c r="B1182" s="2" t="s">
        <v>158</v>
      </c>
      <c r="C1182" s="2" t="s">
        <v>16</v>
      </c>
      <c r="D1182" s="2" t="s">
        <v>159</v>
      </c>
      <c r="E1182" s="39" t="str">
        <f>CONCATENATE(VLOOKUP($D1182,PRECIOS_REFERENCIAS!A$3:D$90,2,FALSE)," a instalar en PLC Zubipe de sistema Arriaran")</f>
        <v>TARJETA COMUNICACIONES  S7-1200 a instalar en PLC Zubipe de sistema Arriaran</v>
      </c>
      <c r="F1182" s="3">
        <v>1</v>
      </c>
      <c r="G1182" s="2" t="s">
        <v>18</v>
      </c>
      <c r="H1182" s="40">
        <f>VLOOKUP($D1182,PRECIOS_REFERENCIAS!A$3:D$90,4,FALSE)</f>
        <v>518.66999999999996</v>
      </c>
      <c r="I1182" s="6">
        <f>H1182*F1182</f>
        <v>518.66999999999996</v>
      </c>
    </row>
    <row r="1183" spans="1:9" hidden="1" outlineLevel="2">
      <c r="A1183" s="23"/>
      <c r="B1183" s="2"/>
      <c r="C1183" s="38"/>
      <c r="D1183" s="2"/>
      <c r="E1183" s="5" t="str">
        <f>VLOOKUP($D1182,PRECIOS_REFERENCIAS!A$3:D$90,3,FALSE)</f>
        <v>SIMATIC S7-1200  Modulo Ethernet CP 1243-1  //6GK7243-1BX30-0XE0</v>
      </c>
      <c r="F1183" s="3"/>
      <c r="G1183" s="2"/>
      <c r="H1183" s="40"/>
      <c r="I1183" s="6"/>
    </row>
    <row r="1184" spans="1:9" hidden="1" outlineLevel="2">
      <c r="A1184" s="24" t="s">
        <v>694</v>
      </c>
      <c r="B1184" s="2" t="s">
        <v>20</v>
      </c>
      <c r="C1184" s="2" t="s">
        <v>21</v>
      </c>
      <c r="D1184" s="2" t="s">
        <v>161</v>
      </c>
      <c r="E1184" s="39" t="str">
        <f>CONCATENATE(VLOOKUP($D1184,PRECIOS_REFERENCIAS!A$3:D$90,2,FALSE)," a instalar en PLC Zubipe de sistema Arriaran")</f>
        <v>INSTALACION COM ADICIONAL a instalar en PLC Zubipe de sistema Arriaran</v>
      </c>
      <c r="F1184" s="3">
        <v>1</v>
      </c>
      <c r="G1184" s="2" t="s">
        <v>18</v>
      </c>
      <c r="H1184" s="40">
        <f>VLOOKUP($D1184,PRECIOS_REFERENCIAS!A$3:D$90,4,FALSE)</f>
        <v>40</v>
      </c>
      <c r="I1184" s="6">
        <f>H1184*F1184</f>
        <v>40</v>
      </c>
    </row>
    <row r="1185" spans="1:9" hidden="1" outlineLevel="2">
      <c r="A1185" s="23"/>
      <c r="B1185" s="7"/>
      <c r="C1185" s="7"/>
      <c r="D1185" s="7"/>
      <c r="E1185" s="5" t="str">
        <f>VLOOKUP($D1184,PRECIOS_REFERENCIAS!A$3:D$90,3,FALSE)</f>
        <v xml:space="preserve">INSTALACION TARJETA COMUNICACIONES ADICIONAL </v>
      </c>
      <c r="F1185" s="7"/>
      <c r="G1185" s="7"/>
      <c r="I1185" s="6"/>
    </row>
    <row r="1186" spans="1:9" hidden="1" outlineLevel="2">
      <c r="A1186" s="24" t="s">
        <v>695</v>
      </c>
      <c r="B1186" s="2" t="s">
        <v>67</v>
      </c>
      <c r="C1186" s="2" t="s">
        <v>16</v>
      </c>
      <c r="D1186" s="2" t="s">
        <v>67</v>
      </c>
      <c r="E1186" s="39" t="str">
        <f>CONCATENATE(VLOOKUP($D1186,PRECIOS_REFERENCIAS!A$3:D$90,2,FALSE)," a instalar en PLC Zubipe de sistema Arriaran")</f>
        <v>ROUTER VPN 4G a instalar en PLC Zubipe de sistema Arriaran</v>
      </c>
      <c r="F1186" s="3">
        <v>1</v>
      </c>
      <c r="G1186" s="2" t="s">
        <v>18</v>
      </c>
      <c r="H1186" s="40">
        <f>VLOOKUP($D1186,PRECIOS_REFERENCIAS!A$3:D$90,4,FALSE)</f>
        <v>560.25</v>
      </c>
      <c r="I1186" s="6">
        <f>H1186*F1186</f>
        <v>560.25</v>
      </c>
    </row>
    <row r="1187" spans="1:9" hidden="1" outlineLevel="2">
      <c r="A1187" s="23"/>
      <c r="B1187" s="2"/>
      <c r="C1187" s="38"/>
      <c r="D1187" s="2"/>
      <c r="E1187" s="5" t="str">
        <f>VLOOKUP($D1186,PRECIOS_REFERENCIAS!A$3:D$90,3,FALSE)</f>
        <v>ROUTER IPL-C-100-LW O SIMILAR</v>
      </c>
      <c r="F1187" s="7"/>
      <c r="G1187" s="7"/>
      <c r="H1187" s="40"/>
      <c r="I1187" s="6"/>
    </row>
    <row r="1188" spans="1:9" hidden="1" outlineLevel="2">
      <c r="A1188" s="24" t="s">
        <v>696</v>
      </c>
      <c r="B1188" s="2" t="s">
        <v>20</v>
      </c>
      <c r="C1188" s="2" t="s">
        <v>21</v>
      </c>
      <c r="D1188" s="2" t="s">
        <v>69</v>
      </c>
      <c r="E1188" s="39" t="str">
        <f>CONCATENATE(VLOOKUP($D1188,PRECIOS_REFERENCIAS!A$3:D$90,2,FALSE)," a instalar en PLC Zubipe de sistema Arriaran")</f>
        <v>INSTALACION ROUTER 4G a instalar en PLC Zubipe de sistema Arriaran</v>
      </c>
      <c r="F1188" s="3">
        <f>F1186</f>
        <v>1</v>
      </c>
      <c r="G1188" s="2" t="s">
        <v>18</v>
      </c>
      <c r="H1188" s="40">
        <f>VLOOKUP($D1188,PRECIOS_REFERENCIAS!A$3:D$90,4,FALSE)</f>
        <v>40</v>
      </c>
      <c r="I1188" s="6">
        <f>H1188*F1188</f>
        <v>40</v>
      </c>
    </row>
    <row r="1189" spans="1:9" hidden="1" outlineLevel="2">
      <c r="A1189" s="23"/>
      <c r="B1189" s="2"/>
      <c r="C1189" s="2"/>
      <c r="D1189" s="2"/>
      <c r="E1189" s="5" t="str">
        <f>VLOOKUP($D1188,PRECIOS_REFERENCIAS!A$3:D$90,3,FALSE)</f>
        <v>INSTALACIÓN DE ROUTER 4G</v>
      </c>
      <c r="F1189" s="3"/>
      <c r="G1189" s="2"/>
      <c r="I1189" s="6"/>
    </row>
    <row r="1190" spans="1:9" hidden="1" outlineLevel="2">
      <c r="A1190" s="24" t="s">
        <v>697</v>
      </c>
      <c r="B1190" s="2" t="s">
        <v>71</v>
      </c>
      <c r="C1190" s="2" t="s">
        <v>16</v>
      </c>
      <c r="D1190" s="2" t="s">
        <v>71</v>
      </c>
      <c r="E1190" s="39" t="str">
        <f>CONCATENATE(VLOOKUP($D1190,PRECIOS_REFERENCIAS!A$3:D$90,2,FALSE)," a instalar en PLC Zubipe de sistema Arriaran")</f>
        <v>ANTENA 4G CON CABLE DE 5 METROS Y KIT MONTAJE ANTENA a instalar en PLC Zubipe de sistema Arriaran</v>
      </c>
      <c r="F1190" s="3">
        <v>1</v>
      </c>
      <c r="G1190" s="2" t="s">
        <v>18</v>
      </c>
      <c r="H1190" s="40">
        <f>VLOOKUP($D1190,PRECIOS_REFERENCIAS!A$3:D$90,4,FALSE)</f>
        <v>152.67857142857142</v>
      </c>
      <c r="I1190" s="6">
        <f>H1190*F1190</f>
        <v>152.67857142857142</v>
      </c>
    </row>
    <row r="1191" spans="1:9" hidden="1" outlineLevel="2">
      <c r="A1191" s="23"/>
      <c r="C1191" s="38"/>
      <c r="E1191" s="5" t="str">
        <f>VLOOKUP($D1190,PRECIOS_REFERENCIAS!A$3:D$90,3,FALSE)</f>
        <v>ANTENA 310 + KIT MONTAJE ANTENA 310</v>
      </c>
      <c r="I1191" s="6"/>
    </row>
    <row r="1192" spans="1:9" hidden="1" outlineLevel="2">
      <c r="A1192" s="24" t="s">
        <v>698</v>
      </c>
      <c r="B1192" s="2" t="s">
        <v>20</v>
      </c>
      <c r="C1192" s="2" t="s">
        <v>21</v>
      </c>
      <c r="D1192" s="2" t="s">
        <v>73</v>
      </c>
      <c r="E1192" s="39" t="str">
        <f>CONCATENATE(VLOOKUP($D1192,PRECIOS_REFERENCIAS!A$3:D$90,2,FALSE)," a instalar en PLC Zubipe de sistema Arriaran")</f>
        <v>INSTALACION ANTENA EXTERIOR a instalar en PLC Zubipe de sistema Arriaran</v>
      </c>
      <c r="F1192" s="3">
        <f>F1190</f>
        <v>1</v>
      </c>
      <c r="G1192" s="2" t="s">
        <v>18</v>
      </c>
      <c r="H1192" s="40">
        <f>VLOOKUP($D1192,PRECIOS_REFERENCIAS!A$3:D$90,4,FALSE)</f>
        <v>149.03086772191051</v>
      </c>
      <c r="I1192" s="6">
        <f>H1192*F1192</f>
        <v>149.03086772191051</v>
      </c>
    </row>
    <row r="1193" spans="1:9" hidden="1" outlineLevel="2">
      <c r="A1193" s="23"/>
      <c r="B1193" s="2"/>
      <c r="C1193" s="2"/>
      <c r="D1193" s="2"/>
      <c r="E1193" s="5" t="str">
        <f>VLOOKUP($D1192,PRECIOS_REFERENCIAS!A$3:D$90,3,FALSE)</f>
        <v>INSTALACIÓN DE ANTENA EXTERIOR + KIT</v>
      </c>
      <c r="F1193" s="3"/>
      <c r="G1193" s="2"/>
      <c r="H1193" s="40"/>
      <c r="I1193" s="6"/>
    </row>
    <row r="1194" spans="1:9" hidden="1" outlineLevel="2">
      <c r="A1194" s="24" t="s">
        <v>699</v>
      </c>
      <c r="B1194" s="2" t="s">
        <v>88</v>
      </c>
      <c r="C1194" s="2" t="s">
        <v>80</v>
      </c>
      <c r="D1194" s="2" t="s">
        <v>89</v>
      </c>
      <c r="E1194" s="39" t="str">
        <f>CONCATENATE(VLOOKUP($D1194,PRECIOS_REFERENCIAS!A$3:D$90,2,FALSE),"  - parte de programación de las comuncaciones&amp;logica con BBO Zubipe de Arriaran")</f>
        <v>PROGRAMA PLC NUEVO  - parte de programación de las comuncaciones&amp;logica con BBO Zubipe de Arriaran</v>
      </c>
      <c r="F1194" s="3">
        <v>0.5</v>
      </c>
      <c r="G1194" s="2" t="s">
        <v>18</v>
      </c>
      <c r="H1194" s="40">
        <f>VLOOKUP($D1194,PRECIOS_REFERENCIAS!A$3:D$90,4,FALSE)</f>
        <v>407.75660964439658</v>
      </c>
      <c r="I1194" s="6">
        <f t="shared" ref="I1194" si="59">H1194*F1194</f>
        <v>203.87830482219829</v>
      </c>
    </row>
    <row r="1195" spans="1:9" hidden="1" outlineLevel="2">
      <c r="A1195" s="23"/>
      <c r="B1195" s="2"/>
      <c r="C1195" s="2"/>
      <c r="D1195" s="2"/>
      <c r="E1195" s="5" t="str">
        <f>VLOOKUP($D1194,PRECIOS_REFERENCIAS!A$3:D$90,3,FALSE)</f>
        <v>MIGRACION DEL PROGRAMA ACTUAL A LA NUEVA PLATAFORMA DE PROGRAMACION</v>
      </c>
      <c r="I1195" s="6"/>
    </row>
    <row r="1196" spans="1:9" hidden="1" outlineLevel="2">
      <c r="A1196" s="24" t="s">
        <v>700</v>
      </c>
      <c r="B1196" s="2" t="s">
        <v>701</v>
      </c>
      <c r="C1196" s="2" t="s">
        <v>80</v>
      </c>
      <c r="D1196" s="2" t="s">
        <v>702</v>
      </c>
      <c r="E1196" s="39" t="str">
        <f>VLOOKUP($D1196,PRECIOS_REFERENCIAS!A$3:D$90,2,FALSE)</f>
        <v>PROGRAMA REMOTAS REDUNDANCIA COM FIBRA OPTICA</v>
      </c>
      <c r="F1196" s="3">
        <v>1</v>
      </c>
      <c r="G1196" s="2" t="s">
        <v>18</v>
      </c>
      <c r="H1196" s="40">
        <f>VLOOKUP($D1196,PRECIOS_REFERENCIAS!A$3:D$90,4,FALSE)</f>
        <v>300</v>
      </c>
      <c r="I1196" s="6">
        <f>H1196*F1196</f>
        <v>300</v>
      </c>
    </row>
    <row r="1197" spans="1:9" hidden="1" outlineLevel="2">
      <c r="A1197" s="23"/>
      <c r="B1197" s="2"/>
      <c r="C1197" s="2"/>
      <c r="D1197" s="2"/>
      <c r="E1197" s="5" t="str">
        <f>VLOOKUP($D1196,PRECIOS_REFERENCIAS!A$3:D$90,3,FALSE)</f>
        <v>PROGRAMACION DE LAS REMOTAS  FIBRA  CON REDUNDACIA DE COMUNICACIONES EN EL FRONT END DE COMUNICACIONES</v>
      </c>
      <c r="F1197" s="3"/>
      <c r="G1197" s="2"/>
      <c r="H1197" s="40"/>
      <c r="I1197" s="6"/>
    </row>
    <row r="1198" spans="1:9" hidden="1" outlineLevel="2">
      <c r="A1198" s="24" t="s">
        <v>703</v>
      </c>
      <c r="B1198" s="2" t="s">
        <v>701</v>
      </c>
      <c r="C1198" s="2" t="s">
        <v>80</v>
      </c>
      <c r="D1198" s="2" t="s">
        <v>704</v>
      </c>
      <c r="E1198" s="39" t="str">
        <f>VLOOKUP($D1198,PRECIOS_REFERENCIAS!A$3:D$90,2,FALSE)</f>
        <v>PROGRAMA REMOTAS REDUNDANCIA COM SHDSL</v>
      </c>
      <c r="F1198" s="3">
        <v>1</v>
      </c>
      <c r="G1198" s="2" t="s">
        <v>18</v>
      </c>
      <c r="H1198" s="40">
        <f>VLOOKUP($D1198,PRECIOS_REFERENCIAS!A$3:D$90,4,FALSE)</f>
        <v>400</v>
      </c>
      <c r="I1198" s="6">
        <f>H1198*F1198</f>
        <v>400</v>
      </c>
    </row>
    <row r="1199" spans="1:9" hidden="1" outlineLevel="2">
      <c r="A1199" s="23"/>
      <c r="B1199" s="2"/>
      <c r="C1199" s="2"/>
      <c r="D1199" s="2"/>
      <c r="E1199" s="5" t="str">
        <f>VLOOKUP($D1198,PRECIOS_REFERENCIAS!A$3:D$90,3,FALSE)</f>
        <v>PROGRAMACION DE LAS REMOTAS SHDSL CON REDUNDACIA DE COMUNICACIONES EN EL FRONT END DE COMUNICACIONES</v>
      </c>
      <c r="F1199" s="3"/>
      <c r="G1199" s="2"/>
      <c r="H1199" s="40"/>
      <c r="I1199" s="6"/>
    </row>
    <row r="1200" spans="1:9" hidden="1" outlineLevel="2">
      <c r="A1200" s="24" t="s">
        <v>705</v>
      </c>
      <c r="B1200" s="2" t="s">
        <v>706</v>
      </c>
      <c r="C1200" s="2" t="s">
        <v>80</v>
      </c>
      <c r="D1200" s="2" t="s">
        <v>707</v>
      </c>
      <c r="E1200" s="39" t="str">
        <f>VLOOKUP($D1200,PRECIOS_REFERENCIAS!A$3:D$90,2,FALSE)</f>
        <v>PEM REMOTA</v>
      </c>
      <c r="F1200" s="3">
        <v>1</v>
      </c>
      <c r="G1200" s="2" t="s">
        <v>18</v>
      </c>
      <c r="H1200" s="40">
        <f>VLOOKUP($D1200,PRECIOS_REFERENCIAS!A$3:D$90,4,FALSE)</f>
        <v>1920</v>
      </c>
      <c r="I1200" s="6">
        <f>H1200*F1200</f>
        <v>1920</v>
      </c>
    </row>
    <row r="1201" spans="1:10" hidden="1" outlineLevel="2">
      <c r="A1201" s="23"/>
      <c r="B1201" s="2"/>
      <c r="C1201" s="2"/>
      <c r="D1201" s="2"/>
      <c r="E1201" s="5" t="str">
        <f>VLOOKUP($D1200,PRECIOS_REFERENCIAS!A$3:D$90,3,FALSE)</f>
        <v>PUESTA EN MARCHA DE LA REMOTA COMPROBACION CORRECTA COMUNICACIÓN CON EL FRONT END Y EL SCADA</v>
      </c>
      <c r="I1201" s="6"/>
    </row>
    <row r="1202" spans="1:10" hidden="1" outlineLevel="2">
      <c r="A1202" s="24"/>
      <c r="B1202" s="2"/>
      <c r="C1202" s="2" t="s">
        <v>16</v>
      </c>
      <c r="D1202" s="2"/>
      <c r="E1202" s="76" t="str">
        <f>CONCATENATE(E1141," - TOTAL HARDWARE")</f>
        <v>ETAP BARRENDIOLA FE (CONCENTRADOR DE COMUNICACIONES) - TOTAL HARDWARE</v>
      </c>
      <c r="F1202" s="74"/>
      <c r="G1202" s="74"/>
      <c r="H1202" s="74"/>
      <c r="I1202" s="75">
        <f>I1142+I1146+I1148+I1152+I1156+I1162+I1166+I1170+I1174+I1160+I1154+I1182+I1186+I1190</f>
        <v>7791.6160714285716</v>
      </c>
    </row>
    <row r="1203" spans="1:10" hidden="1" outlineLevel="2">
      <c r="A1203" s="23"/>
      <c r="B1203" s="2"/>
      <c r="C1203" s="2" t="s">
        <v>21</v>
      </c>
      <c r="D1203" s="2"/>
      <c r="E1203" s="76" t="str">
        <f>CONCATENATE(E1141," - TOTAL INSTALACION")</f>
        <v>ETAP BARRENDIOLA FE (CONCENTRADOR DE COMUNICACIONES) - TOTAL INSTALACION</v>
      </c>
      <c r="F1203" s="74"/>
      <c r="G1203" s="74"/>
      <c r="H1203" s="74"/>
      <c r="I1203" s="75">
        <f>I1144+I1150+I1158+I1164+I1168+I1172+I1192+I1184+I1188</f>
        <v>695.57225901965376</v>
      </c>
    </row>
    <row r="1204" spans="1:10" hidden="1" outlineLevel="2">
      <c r="A1204" s="23"/>
      <c r="B1204" s="2"/>
      <c r="C1204" s="2" t="s">
        <v>80</v>
      </c>
      <c r="D1204" s="2"/>
      <c r="E1204" s="76" t="str">
        <f>CONCATENATE(E1141," - TOTAL INGENIERIA")</f>
        <v>ETAP BARRENDIOLA FE (CONCENTRADOR DE COMUNICACIONES) - TOTAL INGENIERIA</v>
      </c>
      <c r="F1204" s="74"/>
      <c r="G1204" s="74"/>
      <c r="H1204" s="74"/>
      <c r="I1204" s="75">
        <f>I1176+I1178+I1180+I1196+I1200+I1198+I1194</f>
        <v>7323.8783048221985</v>
      </c>
      <c r="J1204" s="22">
        <f>SUM(I1202:I1204)</f>
        <v>15811.066635270425</v>
      </c>
    </row>
    <row r="1205" spans="1:10" hidden="1" outlineLevel="2">
      <c r="E1205" s="41" t="str">
        <f>CONCATENATE("TOTAL ",A1141)</f>
        <v>TOTAL  SUBCAPÍTULO 02.01</v>
      </c>
      <c r="F1205" s="41"/>
      <c r="G1205" s="41"/>
      <c r="H1205" s="41"/>
      <c r="I1205" s="42">
        <f>SUM(I1142:I1201)</f>
        <v>15811.066635270423</v>
      </c>
    </row>
    <row r="1206" spans="1:10" hidden="1" outlineLevel="1">
      <c r="A1206" s="44" t="s">
        <v>708</v>
      </c>
      <c r="B1206" s="44"/>
      <c r="C1206" s="44"/>
      <c r="D1206" s="44"/>
      <c r="E1206" s="43" t="s">
        <v>709</v>
      </c>
      <c r="F1206" s="44"/>
      <c r="G1206" s="44" t="s">
        <v>11</v>
      </c>
      <c r="H1206" s="45"/>
      <c r="I1206" s="64">
        <f>I1260</f>
        <v>22957.037917867798</v>
      </c>
    </row>
    <row r="1207" spans="1:10" hidden="1" outlineLevel="2">
      <c r="A1207" s="24" t="s">
        <v>710</v>
      </c>
      <c r="B1207" s="2" t="s">
        <v>15</v>
      </c>
      <c r="C1207" s="2" t="s">
        <v>16</v>
      </c>
      <c r="D1207" s="2" t="s">
        <v>17</v>
      </c>
      <c r="E1207" s="39" t="str">
        <f>VLOOKUP($D1207,PRECIOS_REFERENCIAS!A$3:D$98,2,FALSE)</f>
        <v>PERFIL 1500 480 mm</v>
      </c>
      <c r="F1207" s="3">
        <v>3</v>
      </c>
      <c r="G1207" s="2" t="s">
        <v>18</v>
      </c>
      <c r="H1207" s="40">
        <f>VLOOKUP($D1207,PRECIOS_REFERENCIAS!A$3:D$90,4,FALSE)</f>
        <v>28.552500000000002</v>
      </c>
      <c r="I1207" s="6">
        <f>H1207*F1207</f>
        <v>85.657499999999999</v>
      </c>
    </row>
    <row r="1208" spans="1:10" hidden="1" outlineLevel="2">
      <c r="A1208" s="23"/>
      <c r="B1208" s="2"/>
      <c r="C1208" s="2"/>
      <c r="D1208" s="2"/>
      <c r="E1208" s="5" t="str">
        <f>VLOOKUP($D1207,PRECIOS_REFERENCIAS!A$3:D$98,3,FALSE)</f>
        <v>S7-1500 PERFIL 480 MM // 6ES7590-1AE80-0AA0</v>
      </c>
      <c r="F1208" s="3"/>
      <c r="G1208" s="2"/>
      <c r="H1208" s="40"/>
      <c r="I1208" s="6"/>
    </row>
    <row r="1209" spans="1:10" hidden="1" outlineLevel="2">
      <c r="A1209" s="24" t="s">
        <v>711</v>
      </c>
      <c r="B1209" s="2" t="s">
        <v>20</v>
      </c>
      <c r="C1209" s="2" t="s">
        <v>21</v>
      </c>
      <c r="D1209" s="2" t="s">
        <v>22</v>
      </c>
      <c r="E1209" s="39" t="str">
        <f>VLOOKUP($D1209,PRECIOS_REFERENCIAS!A$3:D$98,2,FALSE)</f>
        <v xml:space="preserve">INSTALACION CARRIL DIN </v>
      </c>
      <c r="F1209" s="3">
        <f>F1207</f>
        <v>3</v>
      </c>
      <c r="G1209" s="2" t="s">
        <v>18</v>
      </c>
      <c r="H1209" s="40">
        <f>VLOOKUP($D1209,PRECIOS_REFERENCIAS!A$3:D$90,4,FALSE)</f>
        <v>35.402252939916011</v>
      </c>
      <c r="I1209" s="6">
        <f>H1209*F1209</f>
        <v>106.20675881974803</v>
      </c>
    </row>
    <row r="1210" spans="1:10" hidden="1" outlineLevel="2">
      <c r="A1210" s="23"/>
      <c r="B1210" s="2"/>
      <c r="C1210" s="2"/>
      <c r="D1210" s="2"/>
      <c r="E1210" s="5" t="str">
        <f>VLOOKUP($D1209,PRECIOS_REFERENCIAS!A$3:D$98,3,FALSE)</f>
        <v>SUSTITUCIÓN DE PERFIL SOPORTE DE PLC EXISTENTE POR NUEVO PERFIL DE PLC DEFINIDO, DENTRO DEL ARMARIO ELÉCTRICO ACTUAL.</v>
      </c>
      <c r="F1210" s="3"/>
      <c r="G1210" s="2"/>
      <c r="H1210" s="40"/>
      <c r="I1210" s="6"/>
    </row>
    <row r="1211" spans="1:10" hidden="1" outlineLevel="2">
      <c r="A1211" s="24" t="s">
        <v>712</v>
      </c>
      <c r="B1211" s="2" t="s">
        <v>24</v>
      </c>
      <c r="C1211" s="2" t="s">
        <v>16</v>
      </c>
      <c r="D1211" s="2" t="s">
        <v>24</v>
      </c>
      <c r="E1211" s="39" t="str">
        <f>VLOOKUP($D1211,PRECIOS_REFERENCIAS!A$3:D$98,2,FALSE)</f>
        <v>SUMINISTRO DE FUENTE ALIMENTACIÓN CPU 1500</v>
      </c>
      <c r="F1211" s="3">
        <v>1</v>
      </c>
      <c r="G1211" s="2" t="s">
        <v>18</v>
      </c>
      <c r="H1211" s="40">
        <f>VLOOKUP($D1211,PRECIOS_REFERENCIAS!A$3:D$100,4,FALSE)</f>
        <v>180.01500000000001</v>
      </c>
      <c r="I1211" s="6">
        <f>H1211*F1211</f>
        <v>180.01500000000001</v>
      </c>
    </row>
    <row r="1212" spans="1:10" hidden="1" outlineLevel="2">
      <c r="A1212" s="23"/>
      <c r="B1212" s="38"/>
      <c r="C1212" s="38"/>
      <c r="D1212" s="38"/>
      <c r="E1212" s="5" t="str">
        <f>VLOOKUP($D1211,PRECIOS_REFERENCIAS!A$3:D$98,3,FALSE)</f>
        <v>SITOP PSU6200 24 V/10 A //6EP3334-7SB00-3AX0  </v>
      </c>
      <c r="F1212" s="7"/>
      <c r="G1212" s="7"/>
      <c r="I1212" s="6"/>
    </row>
    <row r="1213" spans="1:10" hidden="1" outlineLevel="2">
      <c r="A1213" s="24" t="s">
        <v>713</v>
      </c>
      <c r="B1213" s="2" t="s">
        <v>26</v>
      </c>
      <c r="C1213" s="2" t="s">
        <v>16</v>
      </c>
      <c r="D1213" s="2" t="s">
        <v>26</v>
      </c>
      <c r="E1213" s="39" t="str">
        <f>VLOOKUP($D1213,PRECIOS_REFERENCIAS!A$3:D$98,2,FALSE)</f>
        <v>SUMINISTRO DE CPU CONCENTRADOR</v>
      </c>
      <c r="F1213" s="3">
        <v>1</v>
      </c>
      <c r="G1213" s="2" t="s">
        <v>18</v>
      </c>
      <c r="H1213" s="40">
        <f>VLOOKUP($D1213,PRECIOS_REFERENCIAS!A$3:D$100,4,FALSE)</f>
        <v>2648.7150000000001</v>
      </c>
      <c r="I1213" s="6">
        <f>H1213*F1213</f>
        <v>2648.7150000000001</v>
      </c>
    </row>
    <row r="1214" spans="1:10" hidden="1" outlineLevel="2">
      <c r="A1214" s="23"/>
      <c r="B1214" s="7"/>
      <c r="C1214" s="38"/>
      <c r="D1214" s="7"/>
      <c r="E1214" s="5" t="str">
        <f>VLOOKUP($D1213,PRECIOS_REFERENCIAS!A$3:D$98,3,FALSE)</f>
        <v>CPU 1515-2 PN, 1MB Prog., 4,5MB Data // 6ES7515-2AN03-0AB0</v>
      </c>
      <c r="F1214" s="7"/>
      <c r="G1214" s="7"/>
      <c r="I1214" s="6"/>
    </row>
    <row r="1215" spans="1:10" hidden="1" outlineLevel="2">
      <c r="A1215" s="24" t="s">
        <v>714</v>
      </c>
      <c r="B1215" s="2" t="s">
        <v>20</v>
      </c>
      <c r="C1215" s="2" t="s">
        <v>21</v>
      </c>
      <c r="D1215" s="2" t="s">
        <v>28</v>
      </c>
      <c r="E1215" s="39" t="str">
        <f>VLOOKUP($D1215,PRECIOS_REFERENCIAS!A$3:D$99,2,FALSE)</f>
        <v>INSTALACION CPU</v>
      </c>
      <c r="F1215" s="3">
        <v>1</v>
      </c>
      <c r="G1215" s="2" t="s">
        <v>18</v>
      </c>
      <c r="H1215" s="40">
        <f>VLOOKUP($D1215,PRECIOS_REFERENCIAS!A$3:D$100,4,FALSE)</f>
        <v>123.90076030798227</v>
      </c>
      <c r="I1215" s="6">
        <f>H1215*F1215</f>
        <v>123.90076030798227</v>
      </c>
    </row>
    <row r="1216" spans="1:10" hidden="1" outlineLevel="2">
      <c r="A1216" s="23"/>
      <c r="B1216" s="2"/>
      <c r="C1216" s="2"/>
      <c r="D1216" s="2"/>
      <c r="E1216" s="5" t="str">
        <f>VLOOKUP($D1215,PRECIOS_REFERENCIAS!A$3:D$99,3,FALSE)</f>
        <v>SUSTITUCIÓN DE CPU DE PLC EXISTENTE POR NUEVA CPU DE PLC DEFINIDA</v>
      </c>
      <c r="F1216" s="7"/>
      <c r="G1216" s="7"/>
      <c r="I1216" s="6"/>
    </row>
    <row r="1217" spans="1:9" hidden="1" outlineLevel="2">
      <c r="A1217" s="24" t="s">
        <v>715</v>
      </c>
      <c r="B1217" s="2" t="s">
        <v>30</v>
      </c>
      <c r="C1217" s="2" t="s">
        <v>16</v>
      </c>
      <c r="D1217" s="2" t="s">
        <v>31</v>
      </c>
      <c r="E1217" s="39" t="str">
        <f>VLOOKUP($D1217,PRECIOS_REFERENCIAS!A$3:D$98,2,FALSE)</f>
        <v>TARJETA DE MEMORIA S7-1500</v>
      </c>
      <c r="F1217" s="3">
        <v>1</v>
      </c>
      <c r="G1217" s="2" t="s">
        <v>18</v>
      </c>
      <c r="H1217" s="40">
        <f>VLOOKUP($D1217,PRECIOS_REFERENCIAS!A$3:D$100,4,FALSE)</f>
        <v>361.46999999999997</v>
      </c>
      <c r="I1217" s="6">
        <f>H1217*F1217</f>
        <v>361.46999999999997</v>
      </c>
    </row>
    <row r="1218" spans="1:9" hidden="1" outlineLevel="2">
      <c r="A1218" s="23"/>
      <c r="B1218" s="7"/>
      <c r="C1218" s="7"/>
      <c r="D1218" s="7"/>
      <c r="E1218" s="5" t="str">
        <f>VLOOKUP($D1217,PRECIOS_REFERENCIAS!A$3:D$98,3,FALSE)</f>
        <v>SIMATIC S7 Memory Card, 256 MB //6ES7954-8LL04-0AA0</v>
      </c>
      <c r="F1218" s="7"/>
      <c r="G1218" s="7"/>
      <c r="I1218" s="6"/>
    </row>
    <row r="1219" spans="1:9" hidden="1" outlineLevel="2">
      <c r="A1219" s="24" t="s">
        <v>716</v>
      </c>
      <c r="B1219" s="2" t="s">
        <v>673</v>
      </c>
      <c r="C1219" s="2" t="s">
        <v>16</v>
      </c>
      <c r="D1219" s="2" t="s">
        <v>674</v>
      </c>
      <c r="E1219" s="39" t="str">
        <f>VLOOKUP($D1219,PRECIOS_REFERENCIAS!A$3:D$98,2,FALSE)</f>
        <v>OPC UA SERVER</v>
      </c>
      <c r="F1219" s="3">
        <v>1</v>
      </c>
      <c r="G1219" s="2" t="s">
        <v>18</v>
      </c>
      <c r="H1219" s="40">
        <f>VLOOKUP($D1219,PRECIOS_REFERENCIAS!A$3:D$100,4,FALSE)</f>
        <v>225.9375</v>
      </c>
      <c r="I1219" s="6">
        <f>H1219*F1219</f>
        <v>225.9375</v>
      </c>
    </row>
    <row r="1220" spans="1:9" hidden="1" outlineLevel="2">
      <c r="A1220" s="23"/>
      <c r="B1220" s="7"/>
      <c r="C1220" s="7"/>
      <c r="D1220" s="7"/>
      <c r="E1220" s="5" t="str">
        <f>VLOOKUP($D1219,PRECIOS_REFERENCIAS!A$3:D$98,3,FALSE)</f>
        <v xml:space="preserve">SIMATIC OPC UA S7-1500 Medium DL //6ES7954-8LF03-0AA0 </v>
      </c>
      <c r="F1220" s="7"/>
      <c r="G1220" s="7"/>
      <c r="I1220" s="6"/>
    </row>
    <row r="1221" spans="1:9" hidden="1" outlineLevel="2">
      <c r="A1221" s="24" t="s">
        <v>717</v>
      </c>
      <c r="B1221" s="2" t="s">
        <v>718</v>
      </c>
      <c r="C1221" s="2" t="s">
        <v>16</v>
      </c>
      <c r="D1221" s="2" t="s">
        <v>719</v>
      </c>
      <c r="E1221" s="39" t="str">
        <f>VLOOKUP($D1221,PRECIOS_REFERENCIAS!A$3:D$98,2,FALSE)</f>
        <v>SIMATIC ET 200MP</v>
      </c>
      <c r="F1221" s="3">
        <v>2</v>
      </c>
      <c r="G1221" s="2" t="s">
        <v>18</v>
      </c>
      <c r="H1221" s="40">
        <f>VLOOKUP($D1221,PRECIOS_REFERENCIAS!A$3:D$100,4,FALSE)</f>
        <v>416.92499999999995</v>
      </c>
      <c r="I1221" s="6">
        <f>H1221*F1221</f>
        <v>833.84999999999991</v>
      </c>
    </row>
    <row r="1222" spans="1:9" hidden="1" outlineLevel="2">
      <c r="A1222" s="23"/>
      <c r="B1222" s="7"/>
      <c r="C1222" s="7"/>
      <c r="D1222" s="7"/>
      <c r="E1222" s="5" t="str">
        <f>VLOOKUP($D1221,PRECIOS_REFERENCIAS!A$3:D$98,3,FALSE)</f>
        <v>ET 200MP, IM 155-5 PN ST // 6ES7155-5AA01-0AB0</v>
      </c>
      <c r="F1222" s="7"/>
      <c r="G1222" s="7"/>
      <c r="I1222" s="6"/>
    </row>
    <row r="1223" spans="1:9" hidden="1" outlineLevel="2">
      <c r="A1223" s="24" t="s">
        <v>720</v>
      </c>
      <c r="B1223" s="2" t="s">
        <v>33</v>
      </c>
      <c r="C1223" s="2" t="s">
        <v>16</v>
      </c>
      <c r="D1223" s="2" t="s">
        <v>33</v>
      </c>
      <c r="E1223" s="39" t="str">
        <f>VLOOKUP($D1223,PRECIOS_REFERENCIAS!A$3:D$98,2,FALSE)</f>
        <v>SUMINISTRO MÓDULO DE 32 ENTRADAS DIGITALES</v>
      </c>
      <c r="F1223" s="3">
        <v>7</v>
      </c>
      <c r="G1223" s="2" t="s">
        <v>18</v>
      </c>
      <c r="H1223" s="40">
        <f>VLOOKUP($D1223,PRECIOS_REFERENCIAS!A$3:D$100,4,FALSE)</f>
        <v>308.82</v>
      </c>
      <c r="I1223" s="6">
        <f>H1223*F1223</f>
        <v>2161.7399999999998</v>
      </c>
    </row>
    <row r="1224" spans="1:9" hidden="1" outlineLevel="2">
      <c r="A1224" s="23"/>
      <c r="B1224" s="7"/>
      <c r="C1224" s="7"/>
      <c r="D1224" s="7"/>
      <c r="E1224" s="5" t="str">
        <f>VLOOKUP($D1223,PRECIOS_REFERENCIAS!A$3:D$98,3,FALSE)</f>
        <v>SIMATIC S7-1500,  Módulo de 32 Entradas Digitales // 6ES7521-1BL00-0AB0</v>
      </c>
      <c r="F1224" s="7"/>
      <c r="G1224" s="7"/>
      <c r="I1224" s="6"/>
    </row>
    <row r="1225" spans="1:9" hidden="1" outlineLevel="2">
      <c r="A1225" s="24" t="s">
        <v>721</v>
      </c>
      <c r="B1225" s="2" t="s">
        <v>20</v>
      </c>
      <c r="C1225" s="2" t="s">
        <v>16</v>
      </c>
      <c r="D1225" s="2" t="s">
        <v>37</v>
      </c>
      <c r="E1225" s="39" t="str">
        <f>VLOOKUP($D1225,PRECIOS_REFERENCIAS!A$3:D$99,2,FALSE)</f>
        <v>SUMINISTRO ENCHUFE FRONTAL</v>
      </c>
      <c r="F1225" s="3">
        <f>F1223</f>
        <v>7</v>
      </c>
      <c r="G1225" s="2" t="s">
        <v>18</v>
      </c>
      <c r="H1225" s="40">
        <f>VLOOKUP($D1225,PRECIOS_REFERENCIAS!A$3:D$100,4,FALSE)</f>
        <v>34.987499999999997</v>
      </c>
      <c r="I1225" s="6">
        <f>H1225*F1225</f>
        <v>244.91249999999997</v>
      </c>
    </row>
    <row r="1226" spans="1:9" hidden="1" outlineLevel="2">
      <c r="A1226" s="23"/>
      <c r="B1226" s="2"/>
      <c r="C1226" s="2"/>
      <c r="D1226" s="2"/>
      <c r="E1226" s="5" t="str">
        <f>VLOOKUP($D1225,PRECIOS_REFERENCIAS!A$3:D$99,3,FALSE)</f>
        <v>Enchufe frontal Push-in (mód. de 35mm) // 6ES7592-1BM00-0XB0</v>
      </c>
      <c r="F1226" s="7"/>
      <c r="G1226" s="7"/>
      <c r="I1226" s="6"/>
    </row>
    <row r="1227" spans="1:9" hidden="1" outlineLevel="2">
      <c r="A1227" s="24" t="s">
        <v>722</v>
      </c>
      <c r="B1227" s="2" t="s">
        <v>20</v>
      </c>
      <c r="C1227" s="2" t="s">
        <v>21</v>
      </c>
      <c r="D1227" s="2" t="s">
        <v>35</v>
      </c>
      <c r="E1227" s="39" t="str">
        <f>VLOOKUP($D1227,PRECIOS_REFERENCIAS!A$3:D$99,2,FALSE)</f>
        <v>INSTALACION ED</v>
      </c>
      <c r="F1227" s="3">
        <f>F1223</f>
        <v>7</v>
      </c>
      <c r="G1227" s="2" t="s">
        <v>18</v>
      </c>
      <c r="H1227" s="40">
        <f>VLOOKUP($D1227,PRECIOS_REFERENCIAS!A$3:D$100,4,FALSE)</f>
        <v>161.97310014887609</v>
      </c>
      <c r="I1227" s="6">
        <f>H1227*F1227</f>
        <v>1133.8117010421327</v>
      </c>
    </row>
    <row r="1228" spans="1:9" hidden="1" outlineLevel="2">
      <c r="A1228" s="23"/>
      <c r="B1228" s="2"/>
      <c r="C1228" s="2"/>
      <c r="D1228" s="2"/>
      <c r="E1228" s="5" t="str">
        <f>VLOOKUP($D1227,PRECIOS_REFERENCIAS!A$3:D$99,3,FALSE)</f>
        <v>SUSTITUCIÓN DE MÓDULO DE E/S DIGITALES DE PLC EXISTENTE POR NUEVO MÓDULO DE PLC DEFINIDO. ENTRADA DIGITAL 16</v>
      </c>
      <c r="F1228" s="7"/>
      <c r="G1228" s="7"/>
      <c r="I1228" s="6"/>
    </row>
    <row r="1229" spans="1:9" hidden="1" outlineLevel="2">
      <c r="A1229" s="24" t="s">
        <v>723</v>
      </c>
      <c r="B1229" s="2" t="s">
        <v>39</v>
      </c>
      <c r="C1229" s="2" t="s">
        <v>16</v>
      </c>
      <c r="D1229" s="2" t="s">
        <v>39</v>
      </c>
      <c r="E1229" s="39" t="str">
        <f>VLOOKUP($D1229,PRECIOS_REFERENCIAS!A$3:D$98,2,FALSE)</f>
        <v>SUMINISTRO MÓDULO DE 32 SALIDAS DIGITALES</v>
      </c>
      <c r="F1229" s="3">
        <v>5</v>
      </c>
      <c r="G1229" s="2" t="s">
        <v>18</v>
      </c>
      <c r="H1229" s="40">
        <f>VLOOKUP($D1229,PRECIOS_REFERENCIAS!A$3:D$100,4,FALSE)</f>
        <v>439.43999999999994</v>
      </c>
      <c r="I1229" s="6">
        <f>H1229*F1229</f>
        <v>2197.1999999999998</v>
      </c>
    </row>
    <row r="1230" spans="1:9" hidden="1" outlineLevel="2">
      <c r="A1230" s="23"/>
      <c r="B1230" s="7"/>
      <c r="C1230" s="7"/>
      <c r="D1230" s="7"/>
      <c r="E1230" s="5" t="str">
        <f>VLOOKUP($D1229,PRECIOS_REFERENCIAS!A$3:D$98,3,FALSE)</f>
        <v>SIMATIC S7-1500,  Módulo de 32 Salidas Digitales //  6ES7522-1BL01-0AB0</v>
      </c>
      <c r="F1230" s="7"/>
      <c r="G1230" s="7"/>
      <c r="I1230" s="6"/>
    </row>
    <row r="1231" spans="1:9" hidden="1" outlineLevel="2">
      <c r="A1231" s="24" t="s">
        <v>724</v>
      </c>
      <c r="B1231" s="2" t="s">
        <v>20</v>
      </c>
      <c r="C1231" s="2" t="s">
        <v>21</v>
      </c>
      <c r="D1231" s="2" t="s">
        <v>37</v>
      </c>
      <c r="E1231" s="39" t="str">
        <f>VLOOKUP($D1231,PRECIOS_REFERENCIAS!A$3:D$99,2,FALSE)</f>
        <v>SUMINISTRO ENCHUFE FRONTAL</v>
      </c>
      <c r="F1231" s="3">
        <f>F1229</f>
        <v>5</v>
      </c>
      <c r="G1231" s="2" t="s">
        <v>18</v>
      </c>
      <c r="H1231" s="40">
        <f>VLOOKUP($D1231,PRECIOS_REFERENCIAS!A$3:D$100,4,FALSE)</f>
        <v>34.987499999999997</v>
      </c>
      <c r="I1231" s="6">
        <f>H1231*F1231</f>
        <v>174.9375</v>
      </c>
    </row>
    <row r="1232" spans="1:9" hidden="1" outlineLevel="2">
      <c r="A1232" s="23"/>
      <c r="B1232" s="2"/>
      <c r="C1232" s="2"/>
      <c r="D1232" s="2"/>
      <c r="E1232" s="5" t="str">
        <f>VLOOKUP($D1231,PRECIOS_REFERENCIAS!A$3:D$99,3,FALSE)</f>
        <v>Enchufe frontal Push-in (mód. de 35mm) // 6ES7592-1BM00-0XB0</v>
      </c>
      <c r="F1232" s="7"/>
      <c r="G1232" s="7"/>
      <c r="I1232" s="6"/>
    </row>
    <row r="1233" spans="1:9" hidden="1" outlineLevel="2">
      <c r="A1233" s="24" t="s">
        <v>725</v>
      </c>
      <c r="B1233" s="2" t="s">
        <v>20</v>
      </c>
      <c r="C1233" s="2" t="s">
        <v>21</v>
      </c>
      <c r="D1233" s="2" t="s">
        <v>41</v>
      </c>
      <c r="E1233" s="39" t="str">
        <f>VLOOKUP($D1233,PRECIOS_REFERENCIAS!A$3:D$99,2,FALSE)</f>
        <v>INSTALACION SD</v>
      </c>
      <c r="F1233" s="3">
        <f>F1229</f>
        <v>5</v>
      </c>
      <c r="G1233" s="2" t="s">
        <v>18</v>
      </c>
      <c r="H1233" s="40">
        <f>VLOOKUP($D1233,PRECIOS_REFERENCIAS!A$3:D$100,4,FALSE)</f>
        <v>162.83522293745065</v>
      </c>
      <c r="I1233" s="6">
        <f>H1233*F1233</f>
        <v>814.17611468725329</v>
      </c>
    </row>
    <row r="1234" spans="1:9" hidden="1" outlineLevel="2">
      <c r="A1234" s="23"/>
      <c r="B1234" s="2"/>
      <c r="C1234" s="2"/>
      <c r="D1234" s="2"/>
      <c r="E1234" s="5" t="str">
        <f>VLOOKUP($D1233,PRECIOS_REFERENCIAS!A$3:D$99,3,FALSE)</f>
        <v>SUSTITUCIÓN DE MÓDULO DE E/S DIGITALES DE PLC EXISTENTE POR NUEVO MÓDULO DE PLC DEFINIDO. SALIDA DIGITAL 16</v>
      </c>
      <c r="F1234" s="7"/>
      <c r="G1234" s="7"/>
      <c r="I1234" s="6"/>
    </row>
    <row r="1235" spans="1:9" hidden="1" outlineLevel="2">
      <c r="A1235" s="24" t="s">
        <v>726</v>
      </c>
      <c r="B1235" s="2" t="s">
        <v>44</v>
      </c>
      <c r="C1235" s="2" t="s">
        <v>16</v>
      </c>
      <c r="D1235" s="2" t="s">
        <v>44</v>
      </c>
      <c r="E1235" s="39" t="str">
        <f>VLOOKUP($D1235,PRECIOS_REFERENCIAS!A$3:D$98,2,FALSE)</f>
        <v>SUMINISTRO MÓDULO DE 8 ENTRADAS ANALÓGICAS</v>
      </c>
      <c r="F1235" s="3">
        <v>5</v>
      </c>
      <c r="G1235" s="2" t="s">
        <v>18</v>
      </c>
      <c r="H1235" s="40">
        <f>VLOOKUP($D1235,PRECIOS_REFERENCIAS!A$3:D$100,4,FALSE)</f>
        <v>907.80750000000012</v>
      </c>
      <c r="I1235" s="6">
        <f>H1235*F1235</f>
        <v>4539.0375000000004</v>
      </c>
    </row>
    <row r="1236" spans="1:9" hidden="1" outlineLevel="2">
      <c r="A1236" s="23"/>
      <c r="B1236" s="7"/>
      <c r="C1236" s="7"/>
      <c r="D1236" s="7"/>
      <c r="E1236" s="5" t="str">
        <f>VLOOKUP($D1235,PRECIOS_REFERENCIAS!A$3:D$98,3,FALSE)</f>
        <v>SIMATIC S7-1500,  Módulo de Entradas analógicas AI 8 X U/R/RTD/TC HF // 6ES7531-7PF00-0AB0</v>
      </c>
      <c r="F1236" s="7"/>
      <c r="G1236" s="7"/>
      <c r="I1236" s="6"/>
    </row>
    <row r="1237" spans="1:9" hidden="1" outlineLevel="2">
      <c r="A1237" s="24" t="s">
        <v>727</v>
      </c>
      <c r="B1237" s="2" t="s">
        <v>20</v>
      </c>
      <c r="C1237" s="2" t="s">
        <v>21</v>
      </c>
      <c r="D1237" s="2" t="s">
        <v>37</v>
      </c>
      <c r="E1237" s="39" t="str">
        <f>VLOOKUP($D1237,PRECIOS_REFERENCIAS!A$3:D$99,2,FALSE)</f>
        <v>SUMINISTRO ENCHUFE FRONTAL</v>
      </c>
      <c r="F1237" s="3">
        <f>F1231</f>
        <v>5</v>
      </c>
      <c r="G1237" s="2" t="s">
        <v>18</v>
      </c>
      <c r="H1237" s="40">
        <f>VLOOKUP($D1237,PRECIOS_REFERENCIAS!A$3:D$100,4,FALSE)</f>
        <v>34.987499999999997</v>
      </c>
      <c r="I1237" s="6">
        <f>H1237*F1237</f>
        <v>174.9375</v>
      </c>
    </row>
    <row r="1238" spans="1:9" hidden="1" outlineLevel="2">
      <c r="A1238" s="23"/>
      <c r="B1238" s="2"/>
      <c r="C1238" s="2"/>
      <c r="D1238" s="2"/>
      <c r="E1238" s="5" t="str">
        <f>VLOOKUP($D1237,PRECIOS_REFERENCIAS!A$3:D$99,3,FALSE)</f>
        <v>Enchufe frontal Push-in (mód. de 35mm) // 6ES7592-1BM00-0XB0</v>
      </c>
      <c r="F1238" s="7"/>
      <c r="G1238" s="7"/>
      <c r="I1238" s="6"/>
    </row>
    <row r="1239" spans="1:9" hidden="1" outlineLevel="2">
      <c r="A1239" s="24" t="s">
        <v>728</v>
      </c>
      <c r="B1239" s="2" t="s">
        <v>20</v>
      </c>
      <c r="C1239" s="2" t="s">
        <v>21</v>
      </c>
      <c r="D1239" s="2" t="s">
        <v>46</v>
      </c>
      <c r="E1239" s="39" t="str">
        <f>VLOOKUP($D1239,PRECIOS_REFERENCIAS!A$3:D$99,2,FALSE)</f>
        <v>INSTALACION EA</v>
      </c>
      <c r="F1239" s="3">
        <f>F1235</f>
        <v>5</v>
      </c>
      <c r="G1239" s="2" t="s">
        <v>18</v>
      </c>
      <c r="H1239" s="40">
        <f>VLOOKUP($D1239,PRECIOS_REFERENCIAS!A$3:D$100,4,FALSE)</f>
        <v>237.18351660213608</v>
      </c>
      <c r="I1239" s="6">
        <f>H1239*F1239</f>
        <v>1185.9175830106803</v>
      </c>
    </row>
    <row r="1240" spans="1:9" hidden="1" outlineLevel="2">
      <c r="A1240" s="23"/>
      <c r="B1240" s="2"/>
      <c r="C1240" s="2"/>
      <c r="D1240" s="2"/>
      <c r="E1240" s="5" t="str">
        <f>VLOOKUP($D1239,PRECIOS_REFERENCIAS!A$3:D$99,3,FALSE)</f>
        <v>SUSTITUCIÓN DE MÓDULO DE E/S ANALÓGICAS DE PLC EXISTENTE POR NUEVO MÓDULO DE PLC DEFINIDO. ENTRADA ANALÓGICAS 8</v>
      </c>
      <c r="F1240" s="7"/>
      <c r="G1240" s="7"/>
      <c r="I1240" s="6"/>
    </row>
    <row r="1241" spans="1:9" hidden="1" outlineLevel="2">
      <c r="A1241" s="24" t="s">
        <v>729</v>
      </c>
      <c r="B1241" s="2" t="s">
        <v>49</v>
      </c>
      <c r="C1241" s="2" t="s">
        <v>16</v>
      </c>
      <c r="D1241" s="2" t="s">
        <v>49</v>
      </c>
      <c r="E1241" s="39" t="str">
        <f>VLOOKUP($D1241,PRECIOS_REFERENCIAS!A$3:D$99,2,FALSE)</f>
        <v>SUMINISTRO MÓDULO DE 4 SALIDAS ANALÓGICAS</v>
      </c>
      <c r="F1241" s="3">
        <v>3</v>
      </c>
      <c r="G1241" s="2" t="s">
        <v>18</v>
      </c>
      <c r="H1241" s="40">
        <f>VLOOKUP($D1241,PRECIOS_REFERENCIAS!A$3:D$100,4,FALSE)</f>
        <v>693.21749999999997</v>
      </c>
      <c r="I1241" s="6">
        <f>H1241*F1241</f>
        <v>2079.6525000000001</v>
      </c>
    </row>
    <row r="1242" spans="1:9" hidden="1" outlineLevel="2">
      <c r="A1242" s="23"/>
      <c r="B1242" s="2"/>
      <c r="C1242" s="2"/>
      <c r="D1242" s="2"/>
      <c r="E1242" s="5" t="str">
        <f>VLOOKUP($D1241,PRECIOS_REFERENCIAS!A$3:D$99,3,FALSE)</f>
        <v>SIMATIC S7-1500,  Módulo de Salidas analógicas  AQ 4xU/I HF//  6ES7532-5ND00-0AB0</v>
      </c>
      <c r="F1242" s="7"/>
      <c r="G1242" s="7"/>
      <c r="I1242" s="6"/>
    </row>
    <row r="1243" spans="1:9" hidden="1" outlineLevel="2">
      <c r="A1243" s="24" t="s">
        <v>730</v>
      </c>
      <c r="B1243" s="2" t="s">
        <v>20</v>
      </c>
      <c r="C1243" s="2" t="s">
        <v>21</v>
      </c>
      <c r="D1243" s="2" t="s">
        <v>37</v>
      </c>
      <c r="E1243" s="39" t="str">
        <f>VLOOKUP($D1243,PRECIOS_REFERENCIAS!A$3:D$99,2,FALSE)</f>
        <v>SUMINISTRO ENCHUFE FRONTAL</v>
      </c>
      <c r="F1243" s="3">
        <f>F1241</f>
        <v>3</v>
      </c>
      <c r="G1243" s="2" t="s">
        <v>18</v>
      </c>
      <c r="H1243" s="40">
        <f>VLOOKUP($D1243,PRECIOS_REFERENCIAS!A$3:D$100,4,FALSE)</f>
        <v>34.987499999999997</v>
      </c>
      <c r="I1243" s="6">
        <f>H1243*F1243</f>
        <v>104.96249999999999</v>
      </c>
    </row>
    <row r="1244" spans="1:9" hidden="1" outlineLevel="2">
      <c r="A1244" s="23"/>
      <c r="B1244" s="2"/>
      <c r="C1244" s="2"/>
      <c r="D1244" s="2"/>
      <c r="E1244" s="5" t="str">
        <f>VLOOKUP($D1243,PRECIOS_REFERENCIAS!A$3:D$99,3,FALSE)</f>
        <v>Enchufe frontal Push-in (mód. de 35mm) // 6ES7592-1BM00-0XB0</v>
      </c>
      <c r="F1244" s="7"/>
      <c r="G1244" s="7"/>
      <c r="I1244" s="6"/>
    </row>
    <row r="1245" spans="1:9" hidden="1" outlineLevel="2">
      <c r="A1245" s="24" t="s">
        <v>731</v>
      </c>
      <c r="B1245" s="2" t="s">
        <v>20</v>
      </c>
      <c r="C1245" s="2" t="s">
        <v>21</v>
      </c>
      <c r="D1245" s="2" t="s">
        <v>51</v>
      </c>
      <c r="E1245" s="39" t="str">
        <f>VLOOKUP($D1245,PRECIOS_REFERENCIAS!A$3:D$99,2,FALSE)</f>
        <v>INSTALACION SA</v>
      </c>
      <c r="F1245" s="3">
        <f>F1241</f>
        <v>3</v>
      </c>
      <c r="G1245" s="2" t="s">
        <v>18</v>
      </c>
      <c r="H1245" s="40">
        <f>VLOOKUP($D1245,PRECIOS_REFERENCIAS!A$3:D$100,4,FALSE)</f>
        <v>160</v>
      </c>
      <c r="I1245" s="6">
        <f>H1245*F1245</f>
        <v>480</v>
      </c>
    </row>
    <row r="1246" spans="1:9" hidden="1" outlineLevel="2">
      <c r="A1246" s="23"/>
      <c r="B1246" s="2"/>
      <c r="C1246" s="2"/>
      <c r="D1246" s="2"/>
      <c r="E1246" s="5" t="str">
        <f>VLOOKUP($D1245,PRECIOS_REFERENCIAS!A$3:D$99,3,FALSE)</f>
        <v>SUSTITUCIÓN DE MÓDULO DE E/S ANALÓGICAS DE PLC EXISTENTE POR NUEVO MÓDULO DE PLC DEFINIDO. SALIDAS ANALÓGICAS 2</v>
      </c>
      <c r="F1246" s="7"/>
      <c r="G1246" s="7"/>
      <c r="I1246" s="6"/>
    </row>
    <row r="1247" spans="1:9" hidden="1" outlineLevel="2">
      <c r="A1247" s="24" t="s">
        <v>732</v>
      </c>
      <c r="B1247" s="2" t="s">
        <v>79</v>
      </c>
      <c r="C1247" s="2" t="s">
        <v>80</v>
      </c>
      <c r="D1247" s="2" t="s">
        <v>688</v>
      </c>
      <c r="E1247" s="39" t="str">
        <f>VLOOKUP($D1247,PRECIOS_REFERENCIAS!A$3:D$90,2,FALSE)</f>
        <v xml:space="preserve">PLANIFICACION </v>
      </c>
      <c r="F1247" s="3">
        <v>1</v>
      </c>
      <c r="G1247" s="2" t="s">
        <v>18</v>
      </c>
      <c r="H1247" s="40">
        <f>VLOOKUP($D1247,PRECIOS_REFERENCIAS!A$3:D$90,4,FALSE)</f>
        <v>300</v>
      </c>
      <c r="I1247" s="6">
        <f>H1247*F1247</f>
        <v>300</v>
      </c>
    </row>
    <row r="1248" spans="1:9" hidden="1" outlineLevel="2">
      <c r="A1248" s="23"/>
      <c r="B1248" s="2"/>
      <c r="C1248" s="2"/>
      <c r="D1248" s="2"/>
      <c r="E1248" s="5" t="str">
        <f>VLOOKUP($D1247,PRECIOS_REFERENCIAS!A$3:D$90,3,FALSE)</f>
        <v>PLANIFICACIÓN DE LOS TRABAJOS Y DESCARGA EN LOCAL DEL PROGRAMA DEL PLC</v>
      </c>
      <c r="F1248" s="3"/>
      <c r="G1248" s="2"/>
      <c r="H1248" s="40"/>
      <c r="I1248" s="6"/>
    </row>
    <row r="1249" spans="1:10" hidden="1" outlineLevel="2">
      <c r="A1249" s="24" t="s">
        <v>733</v>
      </c>
      <c r="B1249" s="2" t="s">
        <v>83</v>
      </c>
      <c r="C1249" s="2" t="s">
        <v>80</v>
      </c>
      <c r="D1249" s="2" t="s">
        <v>690</v>
      </c>
      <c r="E1249" s="39" t="str">
        <f>VLOOKUP($D1249,PRECIOS_REFERENCIAS!A$3:D$90,2,FALSE)</f>
        <v>INGENIERIA + ESQUEMAS</v>
      </c>
      <c r="F1249" s="3">
        <v>1</v>
      </c>
      <c r="G1249" s="2" t="s">
        <v>18</v>
      </c>
      <c r="H1249" s="40">
        <f>VLOOKUP($D1249,PRECIOS_REFERENCIAS!A$3:D$90,4,FALSE)</f>
        <v>1000</v>
      </c>
      <c r="I1249" s="6">
        <f>H1249*F1249</f>
        <v>1000</v>
      </c>
    </row>
    <row r="1250" spans="1:10" ht="22.5" hidden="1" outlineLevel="2">
      <c r="A1250" s="23"/>
      <c r="B1250" s="2"/>
      <c r="C1250" s="2"/>
      <c r="D1250" s="2"/>
      <c r="E1250" s="5" t="str">
        <f>VLOOKUP($D1249,PRECIOS_REFERENCIAS!A$3:D$90,3,FALSE)</f>
        <v>INGENIERÍA DE ACTUALIZACIÓN DE ESQUEMAS ELÉCTRICOS. INCLUYE LA REVISIÓN LOCAL DE LOS CUADROS Y ELEMENTOS DE CONTROL, ASÍ COMO LA COMPROBACIÓN DE LAS SEÑALES DE CONTROL.</v>
      </c>
      <c r="F1250" s="3"/>
      <c r="G1250" s="2"/>
      <c r="H1250" s="40"/>
      <c r="I1250" s="6"/>
    </row>
    <row r="1251" spans="1:10" hidden="1" outlineLevel="2">
      <c r="A1251" s="24" t="s">
        <v>734</v>
      </c>
      <c r="B1251" s="2" t="s">
        <v>88</v>
      </c>
      <c r="C1251" s="2" t="s">
        <v>80</v>
      </c>
      <c r="D1251" s="2" t="s">
        <v>735</v>
      </c>
      <c r="E1251" s="39" t="str">
        <f>VLOOKUP($D1251,PRECIOS_REFERENCIAS!A$3:D$90,2,FALSE)</f>
        <v>PROGRAMA PLC CONTROL ETAP</v>
      </c>
      <c r="F1251" s="3">
        <v>1</v>
      </c>
      <c r="G1251" s="2" t="s">
        <v>18</v>
      </c>
      <c r="H1251" s="40">
        <f>VLOOKUP($D1251,PRECIOS_REFERENCIAS!A$3:D$90,4,FALSE)</f>
        <v>1000</v>
      </c>
      <c r="I1251" s="6">
        <f>H1251*F1251</f>
        <v>1000</v>
      </c>
    </row>
    <row r="1252" spans="1:10" hidden="1" outlineLevel="2">
      <c r="A1252" s="23"/>
      <c r="B1252" s="2"/>
      <c r="C1252" s="2"/>
      <c r="D1252" s="2"/>
      <c r="E1252" s="5" t="str">
        <f>VLOOKUP($D1251,PRECIOS_REFERENCIAS!A$3:D$90,3,FALSE)</f>
        <v>MIGRACION DEL PROGRAMA ACTUAL A LA NUEVA PLATAFORMA DE PROGRAMACION</v>
      </c>
      <c r="I1252" s="6"/>
    </row>
    <row r="1253" spans="1:10" hidden="1" outlineLevel="2">
      <c r="A1253" s="24" t="s">
        <v>736</v>
      </c>
      <c r="B1253" s="2" t="s">
        <v>737</v>
      </c>
      <c r="C1253" s="2" t="s">
        <v>80</v>
      </c>
      <c r="D1253" s="2" t="s">
        <v>738</v>
      </c>
      <c r="E1253" s="39" t="str">
        <f>VLOOKUP($D1253,PRECIOS_REFERENCIAS!A$3:D$90,2,FALSE)</f>
        <v>PEM ETAP</v>
      </c>
      <c r="F1253" s="3">
        <v>1</v>
      </c>
      <c r="G1253" s="2" t="s">
        <v>18</v>
      </c>
      <c r="H1253" s="40">
        <f>VLOOKUP($D1253,PRECIOS_REFERENCIAS!A$3:D$90,4,FALSE)</f>
        <v>400</v>
      </c>
      <c r="I1253" s="6">
        <f>H1253*F1253</f>
        <v>400</v>
      </c>
    </row>
    <row r="1254" spans="1:10" hidden="1" outlineLevel="2">
      <c r="A1254" s="23"/>
      <c r="B1254" s="2"/>
      <c r="C1254" s="2"/>
      <c r="D1254" s="2"/>
      <c r="E1254" s="5" t="str">
        <f>VLOOKUP($D1253,PRECIOS_REFERENCIAS!A$3:D$90,3,FALSE)</f>
        <v>PUESTA EN MARCHA DE LA ETAP  COMPROBACION CORRECTA FUNCIONAMIENTO DE LA ETAP</v>
      </c>
      <c r="I1254" s="6"/>
    </row>
    <row r="1255" spans="1:10" hidden="1" outlineLevel="2">
      <c r="A1255" s="24" t="s">
        <v>739</v>
      </c>
      <c r="B1255" s="2" t="s">
        <v>97</v>
      </c>
      <c r="C1255" s="2" t="s">
        <v>80</v>
      </c>
      <c r="D1255" s="2" t="s">
        <v>740</v>
      </c>
      <c r="E1255" s="39" t="str">
        <f>VLOOKUP($D1255,PRECIOS_REFERENCIAS!A$3:D$90,2,FALSE)</f>
        <v>REVISION SCADA TRAS MIGRACION</v>
      </c>
      <c r="F1255" s="3">
        <v>1</v>
      </c>
      <c r="G1255" s="2" t="s">
        <v>18</v>
      </c>
      <c r="H1255" s="40">
        <f>VLOOKUP($D1255,PRECIOS_REFERENCIAS!A$3:D$90,4,FALSE)</f>
        <v>400</v>
      </c>
      <c r="I1255" s="6">
        <f>H1255*F1255</f>
        <v>400</v>
      </c>
    </row>
    <row r="1256" spans="1:10" hidden="1" outlineLevel="2">
      <c r="A1256" s="23"/>
      <c r="B1256" s="2"/>
      <c r="C1256" s="2"/>
      <c r="D1256" s="2"/>
      <c r="E1256" s="5" t="str">
        <f>VLOOKUP($D1255,PRECIOS_REFERENCIAS!A$3:D$90,3,FALSE)</f>
        <v>REVISIÓN DEL PROGRAMA DE SUPERVISIÓN SCADA DE LA ETAP TRAS LA MIGRACION DEL PLC</v>
      </c>
      <c r="I1256" s="6"/>
    </row>
    <row r="1257" spans="1:10" hidden="1" outlineLevel="2">
      <c r="A1257" s="24"/>
      <c r="B1257" s="2"/>
      <c r="C1257" s="2" t="s">
        <v>16</v>
      </c>
      <c r="D1257" s="2"/>
      <c r="E1257" s="76" t="str">
        <f>CONCATENATE(E1206," - TOTAL HARDWARE")</f>
        <v>ETAP BARRENDIOLA CONTROL (CONCENTRADOR DEL CONTROL DE LA ETAP) - TOTAL HARDWARE</v>
      </c>
      <c r="F1257" s="74"/>
      <c r="G1257" s="74"/>
      <c r="H1257" s="74"/>
      <c r="I1257" s="75">
        <f>I1207+I1211+I1213+I1217+I1223+I1229+I1235+I1241+I1219+I1221+I1225+I1231+I1237+I1243</f>
        <v>16013.025</v>
      </c>
    </row>
    <row r="1258" spans="1:10" hidden="1" outlineLevel="2">
      <c r="A1258" s="23"/>
      <c r="B1258" s="2"/>
      <c r="C1258" s="2" t="s">
        <v>21</v>
      </c>
      <c r="D1258" s="2"/>
      <c r="E1258" s="76" t="str">
        <f>CONCATENATE(E1206," - TOTAL INSTALACION")</f>
        <v>ETAP BARRENDIOLA CONTROL (CONCENTRADOR DEL CONTROL DE LA ETAP) - TOTAL INSTALACION</v>
      </c>
      <c r="F1258" s="74"/>
      <c r="G1258" s="74"/>
      <c r="H1258" s="74"/>
      <c r="I1258" s="75">
        <f>I1209+I1215+I1227+I1233+I1239+I1245</f>
        <v>3844.0129178677962</v>
      </c>
    </row>
    <row r="1259" spans="1:10" hidden="1" outlineLevel="2">
      <c r="A1259" s="23"/>
      <c r="B1259" s="2"/>
      <c r="C1259" s="2" t="s">
        <v>80</v>
      </c>
      <c r="D1259" s="2"/>
      <c r="E1259" s="76" t="str">
        <f>CONCATENATE(E1206," - TOTAL INGENIERIA")</f>
        <v>ETAP BARRENDIOLA CONTROL (CONCENTRADOR DEL CONTROL DE LA ETAP) - TOTAL INGENIERIA</v>
      </c>
      <c r="F1259" s="74"/>
      <c r="G1259" s="74"/>
      <c r="H1259" s="74"/>
      <c r="I1259" s="75">
        <f>I1247+I1249+I1251+I1253+I1255</f>
        <v>3100</v>
      </c>
      <c r="J1259" s="22">
        <f>SUM(I1257:I1259)</f>
        <v>22957.037917867798</v>
      </c>
    </row>
    <row r="1260" spans="1:10" hidden="1" outlineLevel="2">
      <c r="E1260" s="41" t="str">
        <f>CONCATENATE("TOTAL ",A1206)</f>
        <v>TOTAL  SUBCAPÍTULO 02.02</v>
      </c>
      <c r="F1260" s="41"/>
      <c r="G1260" s="41"/>
      <c r="H1260" s="41"/>
      <c r="I1260" s="42">
        <f>SUM(I1207:I1256)</f>
        <v>22957.037917867798</v>
      </c>
    </row>
    <row r="1261" spans="1:10" hidden="1" outlineLevel="1">
      <c r="A1261" s="44" t="s">
        <v>741</v>
      </c>
      <c r="B1261" s="44"/>
      <c r="C1261" s="44"/>
      <c r="D1261" s="44"/>
      <c r="E1261" s="43" t="s">
        <v>742</v>
      </c>
      <c r="F1261" s="44"/>
      <c r="G1261" s="44" t="s">
        <v>11</v>
      </c>
      <c r="H1261" s="45"/>
      <c r="I1261" s="64">
        <f>I1271</f>
        <v>7200</v>
      </c>
    </row>
    <row r="1262" spans="1:10" hidden="1" outlineLevel="2">
      <c r="A1262" s="24" t="s">
        <v>743</v>
      </c>
      <c r="B1262" s="2" t="s">
        <v>744</v>
      </c>
      <c r="C1262" s="2" t="s">
        <v>16</v>
      </c>
      <c r="D1262" s="2" t="s">
        <v>745</v>
      </c>
      <c r="E1262" s="39" t="str">
        <f>VLOOKUP($D1262,PRECIOS_REFERENCIAS!A$3:D$98,2,FALSE)</f>
        <v>Samsung monitor QM 75R</v>
      </c>
      <c r="F1262" s="3">
        <v>2</v>
      </c>
      <c r="G1262" s="2" t="s">
        <v>18</v>
      </c>
      <c r="H1262" s="40">
        <f>VLOOKUP($D1262,PRECIOS_REFERENCIAS!A$3:D$90,4,FALSE)</f>
        <v>2433.3333333333335</v>
      </c>
      <c r="I1262" s="6">
        <f>H1262*F1262</f>
        <v>4866.666666666667</v>
      </c>
    </row>
    <row r="1263" spans="1:10" hidden="1" outlineLevel="2">
      <c r="A1263" s="23"/>
      <c r="B1263" s="2"/>
      <c r="C1263" s="2"/>
      <c r="D1263" s="2"/>
      <c r="E1263" s="5" t="str">
        <f>VLOOKUP($D1262,PRECIOS_REFERENCIAS!A$3:D$98,3,FALSE)</f>
        <v>Pantalla de 75" para sustitución sinoptico // Ref. LH75QMREBGCXGO de Samsung o similar</v>
      </c>
      <c r="F1263" s="3"/>
      <c r="G1263" s="2"/>
      <c r="H1263" s="40"/>
      <c r="I1263" s="6"/>
    </row>
    <row r="1264" spans="1:10" hidden="1" outlineLevel="2">
      <c r="A1264" s="24" t="s">
        <v>746</v>
      </c>
      <c r="B1264" s="2" t="s">
        <v>747</v>
      </c>
      <c r="C1264" s="2" t="s">
        <v>21</v>
      </c>
      <c r="D1264" s="2" t="s">
        <v>748</v>
      </c>
      <c r="E1264" s="39" t="str">
        <f>VLOOKUP($D1264,PRECIOS_REFERENCIAS!A$3:D$98,2,FALSE)</f>
        <v>PREPARAR ESTRUCTURA MONTAJE MONITOR</v>
      </c>
      <c r="F1264" s="3">
        <v>2</v>
      </c>
      <c r="G1264" s="2" t="s">
        <v>18</v>
      </c>
      <c r="H1264" s="40">
        <f>VLOOKUP($D1264,PRECIOS_REFERENCIAS!A$3:D$90,4,FALSE)</f>
        <v>200</v>
      </c>
      <c r="I1264" s="6">
        <f>H1264*F1264</f>
        <v>400</v>
      </c>
    </row>
    <row r="1265" spans="1:10" ht="22.5" hidden="1" outlineLevel="2">
      <c r="A1265" s="23"/>
      <c r="B1265" s="2"/>
      <c r="C1265" s="2"/>
      <c r="D1265" s="2"/>
      <c r="E1265" s="5" t="str">
        <f>VLOOKUP($D1264,PRECIOS_REFERENCIAS!A$3:D$98,3,FALSE)</f>
        <v>Preparar estructura metalica, con perfiles de aluminio 4cm x 4cm, en la parte trasera de la pared para posterior sujeción y colocación del panel y monitor.</v>
      </c>
      <c r="F1265" s="3"/>
      <c r="G1265" s="2"/>
      <c r="H1265" s="40"/>
      <c r="I1265" s="6"/>
    </row>
    <row r="1266" spans="1:10" hidden="1" outlineLevel="2">
      <c r="A1266" s="24" t="s">
        <v>749</v>
      </c>
      <c r="B1266" s="2" t="s">
        <v>750</v>
      </c>
      <c r="C1266" s="2" t="s">
        <v>21</v>
      </c>
      <c r="D1266" s="2" t="s">
        <v>751</v>
      </c>
      <c r="E1266" s="39" t="str">
        <f>VLOOKUP($D1266,PRECIOS_REFERENCIAS!A$3:D$98,2,FALSE)</f>
        <v>INSTALACION Y COLOCACIÓN DE MONITOR</v>
      </c>
      <c r="F1266" s="3">
        <v>2</v>
      </c>
      <c r="G1266" s="2" t="s">
        <v>18</v>
      </c>
      <c r="H1266" s="40">
        <f>VLOOKUP($D1266,PRECIOS_REFERENCIAS!A$3:D$100,4,FALSE)</f>
        <v>966.66666666666663</v>
      </c>
      <c r="I1266" s="6">
        <f>H1266*F1266</f>
        <v>1933.3333333333333</v>
      </c>
    </row>
    <row r="1267" spans="1:10" ht="22.5" hidden="1" outlineLevel="2">
      <c r="A1267" s="23"/>
      <c r="B1267" s="38"/>
      <c r="C1267" s="38"/>
      <c r="D1267" s="38"/>
      <c r="E1267" s="5" t="str">
        <f>VLOOKUP($D1266,PRECIOS_REFERENCIAS!A$3:D$98,3,FALSE)</f>
        <v>Realizar un frente de DMH lacado en negro, pieza colocada semiempotrada en los paneles actuales para posterior colocación del monitor sobre el. 1 Pieza lateral de : 200cm x 100cm x 4cm</v>
      </c>
      <c r="F1267" s="7"/>
      <c r="G1267" s="7"/>
      <c r="I1267" s="6"/>
    </row>
    <row r="1268" spans="1:10" hidden="1" outlineLevel="2">
      <c r="A1268" s="24"/>
      <c r="B1268" s="2"/>
      <c r="C1268" s="2" t="s">
        <v>16</v>
      </c>
      <c r="D1268" s="2"/>
      <c r="E1268" s="76" t="str">
        <f>CONCATENATE(E1261," - TOTAL HARDWARE")</f>
        <v>MONITOR 75” sustitución de sinóptico - TOTAL HARDWARE</v>
      </c>
      <c r="F1268" s="74"/>
      <c r="G1268" s="74"/>
      <c r="H1268" s="74"/>
      <c r="I1268" s="75">
        <f>I1262</f>
        <v>4866.666666666667</v>
      </c>
    </row>
    <row r="1269" spans="1:10" hidden="1" outlineLevel="2">
      <c r="A1269" s="23"/>
      <c r="B1269" s="2"/>
      <c r="C1269" s="2" t="s">
        <v>21</v>
      </c>
      <c r="D1269" s="2"/>
      <c r="E1269" s="76" t="str">
        <f>CONCATENATE(E1261," - TOTAL INSTALACION")</f>
        <v>MONITOR 75” sustitución de sinóptico - TOTAL INSTALACION</v>
      </c>
      <c r="F1269" s="74"/>
      <c r="G1269" s="74"/>
      <c r="H1269" s="74"/>
      <c r="I1269" s="75">
        <f>I1264+I1266</f>
        <v>2333.333333333333</v>
      </c>
    </row>
    <row r="1270" spans="1:10" hidden="1" outlineLevel="2">
      <c r="A1270" s="23"/>
      <c r="B1270" s="2"/>
      <c r="C1270" s="2" t="s">
        <v>80</v>
      </c>
      <c r="D1270" s="2"/>
      <c r="E1270" s="76" t="str">
        <f>CONCATENATE(E1261," - TOTAL INGENIERIA")</f>
        <v>MONITOR 75” sustitución de sinóptico - TOTAL INGENIERIA</v>
      </c>
      <c r="F1270" s="74"/>
      <c r="G1270" s="74"/>
      <c r="H1270" s="74"/>
      <c r="I1270" s="75">
        <v>0</v>
      </c>
      <c r="J1270" s="22">
        <f>SUM(I1268:I1270)</f>
        <v>7200</v>
      </c>
    </row>
    <row r="1271" spans="1:10" hidden="1" outlineLevel="2">
      <c r="E1271" s="41" t="s">
        <v>752</v>
      </c>
      <c r="F1271" s="41"/>
      <c r="G1271" s="41"/>
      <c r="H1271" s="41"/>
      <c r="I1271" s="42">
        <f>SUM(I1262:I1266)</f>
        <v>7200</v>
      </c>
    </row>
    <row r="1272" spans="1:10" hidden="1" outlineLevel="1">
      <c r="E1272" s="1" t="s">
        <v>753</v>
      </c>
      <c r="F1272" s="1"/>
      <c r="G1272" s="1"/>
      <c r="H1272" s="1"/>
      <c r="I1272" s="9">
        <f>I1205+I1271+I1260</f>
        <v>45968.104553138219</v>
      </c>
    </row>
    <row r="1273" spans="1:10" ht="12" customHeight="1" collapsed="1">
      <c r="A1273" s="67" t="s">
        <v>754</v>
      </c>
      <c r="B1273" s="68"/>
      <c r="C1273" s="68"/>
      <c r="D1273" s="68"/>
      <c r="E1273" s="69" t="s">
        <v>755</v>
      </c>
      <c r="F1273" s="68"/>
      <c r="G1273" s="68" t="s">
        <v>11</v>
      </c>
      <c r="H1273" s="70"/>
      <c r="I1273" s="71">
        <f>I1290</f>
        <v>2285.8627493756785</v>
      </c>
    </row>
    <row r="1274" spans="1:10" ht="12" hidden="1" customHeight="1" outlineLevel="2">
      <c r="A1274" s="44" t="s">
        <v>756</v>
      </c>
      <c r="B1274" s="44"/>
      <c r="C1274" s="44"/>
      <c r="D1274" s="44"/>
      <c r="E1274" s="43" t="s">
        <v>757</v>
      </c>
      <c r="F1274" s="44"/>
      <c r="G1274" s="44" t="s">
        <v>11</v>
      </c>
      <c r="H1274" s="45"/>
      <c r="I1274" s="64">
        <f>I1290</f>
        <v>2285.8627493756785</v>
      </c>
    </row>
    <row r="1275" spans="1:10" hidden="1" outlineLevel="2">
      <c r="A1275" s="24" t="s">
        <v>758</v>
      </c>
      <c r="B1275" s="2" t="s">
        <v>759</v>
      </c>
      <c r="C1275" s="2" t="s">
        <v>21</v>
      </c>
      <c r="D1275" s="2" t="s">
        <v>760</v>
      </c>
      <c r="E1275" s="39" t="str">
        <f>VLOOKUP($D1275,PRECIOS_REFERENCIAS!A$3:D$90,2,FALSE)</f>
        <v>INSTALACION FO PRESA</v>
      </c>
      <c r="F1275" s="3">
        <v>150</v>
      </c>
      <c r="G1275" s="2" t="s">
        <v>18</v>
      </c>
      <c r="H1275" s="40">
        <f>VLOOKUP($D1275,PRECIOS_REFERENCIAS!A$3:D$90,4,FALSE)</f>
        <v>3</v>
      </c>
      <c r="I1275" s="6">
        <f>H1275*F1275</f>
        <v>450</v>
      </c>
    </row>
    <row r="1276" spans="1:10" hidden="1" outlineLevel="2">
      <c r="A1276" s="23"/>
      <c r="B1276" s="38"/>
      <c r="C1276" s="38"/>
      <c r="D1276" s="38"/>
      <c r="E1276" s="5" t="s">
        <v>761</v>
      </c>
      <c r="F1276" s="7"/>
      <c r="G1276" s="7"/>
      <c r="I1276" s="6"/>
    </row>
    <row r="1277" spans="1:10" hidden="1" outlineLevel="2">
      <c r="A1277" s="24" t="s">
        <v>762</v>
      </c>
      <c r="B1277" s="2" t="s">
        <v>763</v>
      </c>
      <c r="C1277" s="2" t="s">
        <v>21</v>
      </c>
      <c r="D1277" s="2" t="s">
        <v>760</v>
      </c>
      <c r="E1277" s="39" t="str">
        <f>VLOOKUP($D1277,PRECIOS_REFERENCIAS!A$3:D$90,2,FALSE)</f>
        <v>INSTALACION FO PRESA</v>
      </c>
      <c r="F1277" s="3">
        <v>250</v>
      </c>
      <c r="G1277" s="2" t="s">
        <v>18</v>
      </c>
      <c r="H1277" s="40">
        <f>VLOOKUP($D1277,PRECIOS_REFERENCIAS!A$3:D$90,4,FALSE)</f>
        <v>3</v>
      </c>
      <c r="I1277" s="6">
        <f>H1277*F1277</f>
        <v>750</v>
      </c>
    </row>
    <row r="1278" spans="1:10" hidden="1" outlineLevel="2">
      <c r="A1278" s="23"/>
      <c r="B1278" s="38"/>
      <c r="C1278" s="38"/>
      <c r="D1278" s="38"/>
      <c r="E1278" s="5" t="s">
        <v>764</v>
      </c>
      <c r="F1278" s="7"/>
      <c r="G1278" s="7"/>
      <c r="I1278" s="6"/>
    </row>
    <row r="1279" spans="1:10" hidden="1" outlineLevel="2">
      <c r="A1279" s="24" t="s">
        <v>765</v>
      </c>
      <c r="B1279" s="2" t="s">
        <v>494</v>
      </c>
      <c r="C1279" s="2" t="s">
        <v>16</v>
      </c>
      <c r="D1279" s="2" t="s">
        <v>495</v>
      </c>
      <c r="E1279" s="39" t="str">
        <f>VLOOKUP($D1279,PRECIOS_REFERENCIAS!A$3:D$90,2,FALSE)</f>
        <v>SUMINISTRO CONVERSOR ETHERNET Y FIBRA OPTICA MULTIMODO 1P</v>
      </c>
      <c r="F1279" s="3">
        <v>3</v>
      </c>
      <c r="G1279" s="2" t="s">
        <v>18</v>
      </c>
      <c r="H1279" s="40">
        <f>VLOOKUP($D1279,PRECIOS_REFERENCIAS!A$3:D$90,4,FALSE)</f>
        <v>134.66</v>
      </c>
      <c r="I1279" s="6">
        <f>H1279*F1279</f>
        <v>403.98</v>
      </c>
    </row>
    <row r="1280" spans="1:10" hidden="1" outlineLevel="2">
      <c r="A1280" s="23"/>
      <c r="B1280" s="7"/>
      <c r="C1280" s="7"/>
      <c r="D1280" s="7"/>
      <c r="E1280" s="5" t="str">
        <f>VLOOKUP($D1279,PRECIOS_REFERENCIAS!A$3:D$90,3,FALSE)</f>
        <v xml:space="preserve">Transceiver 1 x 10/100Base-TX, 1 x 100Base-FX, MM-SC // SPIDER-SL-20-01T1M29999SY9HHHH </v>
      </c>
      <c r="F1280" s="7"/>
      <c r="G1280" s="7"/>
      <c r="I1280" s="6"/>
    </row>
    <row r="1281" spans="1:12" hidden="1" outlineLevel="2">
      <c r="A1281" s="24" t="s">
        <v>766</v>
      </c>
      <c r="B1281" s="2" t="s">
        <v>20</v>
      </c>
      <c r="C1281" s="2" t="s">
        <v>21</v>
      </c>
      <c r="D1281" s="2" t="s">
        <v>497</v>
      </c>
      <c r="E1281" s="39" t="str">
        <f>VLOOKUP($D1281,PRECIOS_REFERENCIAS!A$3:D$90,2,FALSE)</f>
        <v>INSTALACION TRANSCEIVER</v>
      </c>
      <c r="F1281" s="3">
        <f>F1279</f>
        <v>3</v>
      </c>
      <c r="G1281" s="2" t="s">
        <v>18</v>
      </c>
      <c r="H1281" s="40">
        <f>VLOOKUP($D1281,PRECIOS_REFERENCIAS!A$3:D$90,4,FALSE)</f>
        <v>97.52318734391956</v>
      </c>
      <c r="I1281" s="6">
        <f>H1281*F1281</f>
        <v>292.56956203175866</v>
      </c>
    </row>
    <row r="1282" spans="1:12" hidden="1" outlineLevel="2">
      <c r="A1282" s="23"/>
      <c r="B1282" s="2"/>
      <c r="C1282" s="2"/>
      <c r="D1282" s="2"/>
      <c r="E1282" s="5" t="str">
        <f>VLOOKUP($D1281,PRECIOS_REFERENCIAS!A$3:D$90,3,FALSE)</f>
        <v>INSTALACIÓN DE TRANSCEIVER ETHERNET - FIBRA OPTICA</v>
      </c>
      <c r="F1282" s="3"/>
      <c r="G1282" s="2"/>
      <c r="H1282" s="40"/>
      <c r="I1282" s="6"/>
    </row>
    <row r="1283" spans="1:12" hidden="1" outlineLevel="2">
      <c r="A1283" s="24" t="s">
        <v>767</v>
      </c>
      <c r="B1283" s="2" t="s">
        <v>494</v>
      </c>
      <c r="C1283" s="2" t="s">
        <v>16</v>
      </c>
      <c r="D1283" s="2" t="s">
        <v>768</v>
      </c>
      <c r="E1283" s="39" t="str">
        <f>VLOOKUP($D1283,PRECIOS_REFERENCIAS!A$3:D$90,2,FALSE)</f>
        <v>SUMINISTRO CONVERSOR ETHERNET Y FIBRA OPTICA MULTIMODO 6P X2FO</v>
      </c>
      <c r="F1283" s="3">
        <v>1</v>
      </c>
      <c r="G1283" s="2" t="s">
        <v>18</v>
      </c>
      <c r="H1283" s="40">
        <f>VLOOKUP($D1283,PRECIOS_REFERENCIAS!A$3:D$90,4,FALSE)</f>
        <v>291.79000000000002</v>
      </c>
      <c r="I1283" s="6">
        <f>H1283*F1283</f>
        <v>291.79000000000002</v>
      </c>
    </row>
    <row r="1284" spans="1:12" hidden="1" outlineLevel="2">
      <c r="A1284" s="23"/>
      <c r="B1284" s="7"/>
      <c r="C1284" s="7"/>
      <c r="D1284" s="7"/>
      <c r="E1284" s="5" t="str">
        <f>VLOOKUP($D1283,PRECIOS_REFERENCIAS!A$3:D$90,3,FALSE)</f>
        <v>Modicon Unmanaged Switch - 6 ports for copper + 2 ports for fiber optic - multi mode // MCSESU083F2CU0</v>
      </c>
      <c r="F1284" s="7"/>
      <c r="G1284" s="7"/>
      <c r="I1284" s="6"/>
    </row>
    <row r="1285" spans="1:12" hidden="1" outlineLevel="2">
      <c r="A1285" s="24" t="s">
        <v>769</v>
      </c>
      <c r="B1285" s="2" t="s">
        <v>20</v>
      </c>
      <c r="C1285" s="2" t="s">
        <v>21</v>
      </c>
      <c r="D1285" s="2" t="s">
        <v>497</v>
      </c>
      <c r="E1285" s="39" t="str">
        <f>VLOOKUP($D1285,PRECIOS_REFERENCIAS!A$3:D$90,2,FALSE)</f>
        <v>INSTALACION TRANSCEIVER</v>
      </c>
      <c r="F1285" s="3">
        <f>F1283</f>
        <v>1</v>
      </c>
      <c r="G1285" s="2" t="s">
        <v>18</v>
      </c>
      <c r="H1285" s="40">
        <f>VLOOKUP($D1285,PRECIOS_REFERENCIAS!A$3:D$90,4,FALSE)</f>
        <v>97.52318734391956</v>
      </c>
      <c r="I1285" s="6">
        <f>H1285*F1285</f>
        <v>97.52318734391956</v>
      </c>
    </row>
    <row r="1286" spans="1:12" hidden="1" outlineLevel="2">
      <c r="A1286" s="23"/>
      <c r="B1286" s="2"/>
      <c r="C1286" s="2"/>
      <c r="D1286" s="2"/>
      <c r="E1286" s="5" t="str">
        <f>VLOOKUP($D1285,PRECIOS_REFERENCIAS!A$3:D$90,3,FALSE)</f>
        <v>INSTALACIÓN DE TRANSCEIVER ETHERNET - FIBRA OPTICA</v>
      </c>
      <c r="F1286" s="3"/>
      <c r="G1286" s="2"/>
      <c r="H1286" s="40"/>
      <c r="I1286" s="6"/>
    </row>
    <row r="1287" spans="1:12" hidden="1" outlineLevel="2">
      <c r="A1287" s="24"/>
      <c r="B1287" s="2"/>
      <c r="C1287" s="2" t="s">
        <v>16</v>
      </c>
      <c r="D1287" s="2"/>
      <c r="E1287" s="76" t="str">
        <f>CONCATENATE(E1273," - TOTAL HARDWARE")</f>
        <v>SOLUCIÓN DE COMUNICACIÓN FIBRA OPTICA EN PRESA BARRENDIOLA - TOTAL HARDWARE</v>
      </c>
      <c r="F1287" s="74"/>
      <c r="G1287" s="74"/>
      <c r="H1287" s="74"/>
      <c r="I1287" s="75">
        <f>I1279+I1283</f>
        <v>695.77</v>
      </c>
    </row>
    <row r="1288" spans="1:12" hidden="1" outlineLevel="2">
      <c r="A1288" s="23"/>
      <c r="B1288" s="2"/>
      <c r="C1288" s="2" t="s">
        <v>21</v>
      </c>
      <c r="D1288" s="2"/>
      <c r="E1288" s="76" t="str">
        <f>CONCATENATE(E1273," - TOTAL INSTALACION")</f>
        <v>SOLUCIÓN DE COMUNICACIÓN FIBRA OPTICA EN PRESA BARRENDIOLA - TOTAL INSTALACION</v>
      </c>
      <c r="F1288" s="74"/>
      <c r="G1288" s="74"/>
      <c r="H1288" s="74"/>
      <c r="I1288" s="75">
        <f>I1275+I1281+I1285+I1277</f>
        <v>1590.0927493756781</v>
      </c>
      <c r="J1288" s="22">
        <f>SUM(I1287:I1288)</f>
        <v>2285.862749375678</v>
      </c>
    </row>
    <row r="1289" spans="1:12" hidden="1" outlineLevel="2">
      <c r="E1289" s="41" t="s">
        <v>770</v>
      </c>
      <c r="F1289" s="41"/>
      <c r="G1289" s="41"/>
      <c r="H1289" s="41"/>
      <c r="I1289" s="42">
        <f>SUM(I1275:I1286)</f>
        <v>2285.8627493756785</v>
      </c>
    </row>
    <row r="1290" spans="1:12" hidden="1" outlineLevel="1">
      <c r="E1290" s="1" t="s">
        <v>771</v>
      </c>
      <c r="F1290" s="1"/>
      <c r="G1290" s="1"/>
      <c r="H1290" s="1"/>
      <c r="I1290" s="9">
        <f>I1289</f>
        <v>2285.8627493756785</v>
      </c>
    </row>
    <row r="1291" spans="1:12" collapsed="1">
      <c r="A1291" s="67" t="s">
        <v>772</v>
      </c>
      <c r="B1291" s="68"/>
      <c r="C1291" s="68"/>
      <c r="D1291" s="68" t="s">
        <v>11</v>
      </c>
      <c r="E1291" s="69" t="s">
        <v>773</v>
      </c>
      <c r="F1291" s="69"/>
      <c r="G1291" s="69"/>
      <c r="H1291" s="69"/>
      <c r="I1291" s="71">
        <f>I1303</f>
        <v>5802.5178571428569</v>
      </c>
    </row>
    <row r="1292" spans="1:12" hidden="1" outlineLevel="1">
      <c r="A1292" s="24" t="s">
        <v>774</v>
      </c>
      <c r="B1292" s="12" t="s">
        <v>775</v>
      </c>
      <c r="C1292" s="2" t="s">
        <v>80</v>
      </c>
      <c r="D1292" s="2" t="s">
        <v>776</v>
      </c>
      <c r="E1292" s="39" t="str">
        <f>VLOOKUP($D1292,PRECIOS_REFERENCIAS!A$3:D$90,2,FALSE)</f>
        <v>ESTUDIO Y ADECUACIÓN DE LOS CABLES DE COMUNICACIONES</v>
      </c>
      <c r="F1292" s="3">
        <v>1</v>
      </c>
      <c r="G1292" s="2" t="s">
        <v>18</v>
      </c>
      <c r="H1292" s="40">
        <f>VLOOKUP($D1292,PRECIOS_REFERENCIAS!A$3:D$90,4,FALSE)</f>
        <v>3995.0178571428569</v>
      </c>
      <c r="I1292" s="6">
        <f>H1292*F1292</f>
        <v>3995.0178571428569</v>
      </c>
    </row>
    <row r="1293" spans="1:12" ht="22.5" hidden="1" outlineLevel="1">
      <c r="A1293" s="23"/>
      <c r="B1293" s="13"/>
      <c r="C1293" s="13"/>
      <c r="D1293" s="4"/>
      <c r="E1293" s="5" t="str">
        <f>VLOOKUP($D1292,PRECIOS_REFERENCIAS!A$3:D$90,3,FALSE)</f>
        <v>ANÁLISIS GENERAL DE LA SOLUCIÓN DE COMUNICACIONES LÍNEA DE DEDICADA Y PROPUESTA DE SOLUCIÓN DEFINITIVA. ANÁLISIS DE CARACTERÍSTICAS DEL CABLE SEGÚN PPT DE LOS 13 SEGMENTOS DE TELEMANDO</v>
      </c>
      <c r="F1293" s="15"/>
    </row>
    <row r="1294" spans="1:12" ht="15" hidden="1" outlineLevel="1">
      <c r="A1294" s="24" t="s">
        <v>777</v>
      </c>
      <c r="B1294" s="12" t="s">
        <v>778</v>
      </c>
      <c r="C1294" s="2" t="s">
        <v>80</v>
      </c>
      <c r="D1294" s="2" t="s">
        <v>779</v>
      </c>
      <c r="E1294" s="39" t="str">
        <f>VLOOKUP($D1294,PRECIOS_REFERENCIAS!A$3:D$90,2,FALSE)</f>
        <v>CONFIGURACIÓN &amp; PRUEBAS OFFLINE SWITCHES SHDSL</v>
      </c>
      <c r="F1294" s="3">
        <v>1</v>
      </c>
      <c r="G1294" s="2" t="s">
        <v>18</v>
      </c>
      <c r="H1294" s="40">
        <f>VLOOKUP($D1294,PRECIOS_REFERENCIAS!A$3:D$90,4,FALSE)</f>
        <v>1020</v>
      </c>
      <c r="I1294" s="6">
        <f>H1294*F1294</f>
        <v>1020</v>
      </c>
      <c r="K1294" s="11"/>
      <c r="L1294" s="10"/>
    </row>
    <row r="1295" spans="1:12" hidden="1" outlineLevel="1">
      <c r="A1295" s="2"/>
      <c r="B1295" s="14"/>
      <c r="C1295" s="14"/>
      <c r="D1295" s="7"/>
      <c r="E1295" s="5" t="str">
        <f>VLOOKUP($D1294,PRECIOS_REFERENCIAS!A$3:D$90,3,FALSE)</f>
        <v>PROGRAMACIÓN DE LOS ROUTERS SHDSL EN FUNCIÓN DEL RESULTADO DEL ANALISIS DEL CABLE DE COMUNICACIONES</v>
      </c>
      <c r="F1295" s="15"/>
      <c r="G1295" s="6"/>
    </row>
    <row r="1296" spans="1:12" ht="15" hidden="1" outlineLevel="1">
      <c r="A1296" s="24" t="s">
        <v>780</v>
      </c>
      <c r="B1296" s="12" t="s">
        <v>781</v>
      </c>
      <c r="C1296" s="2" t="s">
        <v>80</v>
      </c>
      <c r="D1296" s="2" t="s">
        <v>782</v>
      </c>
      <c r="E1296" s="39" t="str">
        <f>VLOOKUP($D1296,PRECIOS_REFERENCIAS!A$3:D$90,2,FALSE)</f>
        <v>CONFIGURACIÓN &amp; PRUEBAS OFFLINE ROUTERS 4G  RSTP</v>
      </c>
      <c r="F1296" s="3">
        <v>1</v>
      </c>
      <c r="G1296" s="2" t="s">
        <v>18</v>
      </c>
      <c r="H1296" s="40">
        <f>VLOOKUP($D1296,PRECIOS_REFERENCIAS!A$3:D$90,4,FALSE)</f>
        <v>205</v>
      </c>
      <c r="I1296" s="6">
        <f>H1296*F1296</f>
        <v>205</v>
      </c>
      <c r="K1296" s="11"/>
      <c r="L1296" s="10"/>
    </row>
    <row r="1297" spans="1:12" hidden="1" outlineLevel="1">
      <c r="A1297" s="23"/>
      <c r="B1297" s="14"/>
      <c r="C1297" s="14"/>
      <c r="D1297" s="7"/>
      <c r="E1297" s="5" t="str">
        <f>VLOOKUP($D1296,PRECIOS_REFERENCIAS!A$3:D$90,3,FALSE)</f>
        <v>PROGRAMACIÓN DE LOS ROUTERS 4G PARA LOS EQUIPOS DEL ANILLOS RSTP</v>
      </c>
      <c r="F1297" s="15"/>
      <c r="G1297" s="6"/>
    </row>
    <row r="1298" spans="1:12" ht="15" hidden="1" outlineLevel="1">
      <c r="A1298" s="24" t="s">
        <v>783</v>
      </c>
      <c r="B1298" s="12" t="s">
        <v>784</v>
      </c>
      <c r="C1298" s="2" t="s">
        <v>80</v>
      </c>
      <c r="D1298" s="2" t="s">
        <v>785</v>
      </c>
      <c r="E1298" s="39" t="str">
        <f>VLOOKUP($D1298,PRECIOS_REFERENCIAS!A$3:D$90,2,FALSE)</f>
        <v>CONFIGURACIÓN &amp; PRUEBAS OFFLINE ROUTERS 4G REDUNDANCIA F.O</v>
      </c>
      <c r="F1298" s="3">
        <v>1</v>
      </c>
      <c r="G1298" s="2" t="s">
        <v>18</v>
      </c>
      <c r="H1298" s="40">
        <f>VLOOKUP($D1298,PRECIOS_REFERENCIAS!A$3:D$90,4,FALSE)</f>
        <v>262.5</v>
      </c>
      <c r="I1298" s="6">
        <f>H1298*F1298</f>
        <v>262.5</v>
      </c>
      <c r="K1298" s="11"/>
      <c r="L1298" s="10"/>
    </row>
    <row r="1299" spans="1:12" hidden="1" outlineLevel="1">
      <c r="A1299" s="2"/>
      <c r="B1299" s="14"/>
      <c r="C1299" s="14"/>
      <c r="D1299" s="7"/>
      <c r="E1299" s="5" t="str">
        <f>VLOOKUP($D1298,PRECIOS_REFERENCIAS!A$3:D$90,3,FALSE)</f>
        <v>PROGRAMACIÓN DE LOS ROUTERS 4G PARA LAS REMOTAS CON FIBRA OPTICA CON FUNCION REDUNDANCIA DE COMUNICACIONES</v>
      </c>
      <c r="F1299" s="15"/>
      <c r="G1299" s="6"/>
    </row>
    <row r="1300" spans="1:12" ht="15" hidden="1" outlineLevel="1">
      <c r="A1300" s="24" t="s">
        <v>783</v>
      </c>
      <c r="B1300" s="12" t="s">
        <v>784</v>
      </c>
      <c r="C1300" s="2" t="s">
        <v>80</v>
      </c>
      <c r="D1300" s="2" t="s">
        <v>786</v>
      </c>
      <c r="E1300" s="39" t="str">
        <f>VLOOKUP($D1300,PRECIOS_REFERENCIAS!A$3:D$90,2,FALSE)</f>
        <v>CONFIGURACIÓN &amp; PRUEBAS OFFLINE ROUTERS 4G REDUNDANCIA SHDSL</v>
      </c>
      <c r="F1300" s="3">
        <v>1</v>
      </c>
      <c r="G1300" s="2" t="s">
        <v>18</v>
      </c>
      <c r="H1300" s="40">
        <f>VLOOKUP($D1300,PRECIOS_REFERENCIAS!A$3:D$90,4,FALSE)</f>
        <v>320</v>
      </c>
      <c r="I1300" s="6">
        <f>H1300*F1300</f>
        <v>320</v>
      </c>
      <c r="K1300" s="11"/>
      <c r="L1300" s="10"/>
    </row>
    <row r="1301" spans="1:12" ht="12" hidden="1" customHeight="1" outlineLevel="1">
      <c r="A1301" s="2"/>
      <c r="B1301" s="14"/>
      <c r="C1301" s="14"/>
      <c r="D1301" s="7"/>
      <c r="E1301" s="5" t="str">
        <f>VLOOKUP($D1300,PRECIOS_REFERENCIAS!A$3:D$90,3,FALSE)</f>
        <v>PROGRAMACIÓN DE LOS ROUTERS 4G PARA LAS REMOTAS CON LINEA DEDICADA CON FUNCION REDUNDANCIA DE COMUNICACIONES</v>
      </c>
      <c r="F1301" s="15"/>
      <c r="G1301" s="6"/>
    </row>
    <row r="1302" spans="1:12" hidden="1" outlineLevel="2">
      <c r="A1302" s="23"/>
      <c r="B1302" s="2"/>
      <c r="C1302" s="2" t="s">
        <v>80</v>
      </c>
      <c r="D1302" s="2"/>
      <c r="E1302" s="107" t="str">
        <f>CONCATENATE(E1291," - TOTAL INGENIERIA")</f>
        <v>ESTUDIO LÍNEA DEDICADA Y CONFIG.&amp;PRUEBAS SHDSL&amp;4G BARRENDIOLA  - TOTAL INGENIERIA - TOTAL INGENIERIA</v>
      </c>
      <c r="F1302" s="74"/>
      <c r="G1302" s="74"/>
      <c r="H1302" s="74"/>
      <c r="I1302" s="75">
        <f>I1303</f>
        <v>5802.5178571428569</v>
      </c>
      <c r="J1302" s="22">
        <f>I1302</f>
        <v>5802.5178571428569</v>
      </c>
    </row>
    <row r="1303" spans="1:12" s="8" customFormat="1" hidden="1" outlineLevel="1">
      <c r="A1303" s="7"/>
      <c r="B1303" s="7"/>
      <c r="C1303" s="7"/>
      <c r="D1303" s="7"/>
      <c r="E1303" s="1" t="s">
        <v>787</v>
      </c>
      <c r="F1303" s="1"/>
      <c r="G1303" s="1"/>
      <c r="H1303" s="1"/>
      <c r="I1303" s="9">
        <f>SUM(I1292:I1301)</f>
        <v>5802.5178571428569</v>
      </c>
    </row>
    <row r="1304" spans="1:12" collapsed="1">
      <c r="A1304" s="67" t="s">
        <v>788</v>
      </c>
      <c r="B1304" s="68"/>
      <c r="C1304" s="68"/>
      <c r="D1304" s="68" t="s">
        <v>11</v>
      </c>
      <c r="E1304" s="69" t="s">
        <v>789</v>
      </c>
      <c r="F1304" s="69"/>
      <c r="G1304" s="69"/>
      <c r="H1304" s="69"/>
      <c r="I1304" s="71">
        <f>I1357</f>
        <v>19323.464705882354</v>
      </c>
    </row>
    <row r="1305" spans="1:12" ht="12" hidden="1" customHeight="1" outlineLevel="1" collapsed="1">
      <c r="A1305" s="44" t="s">
        <v>790</v>
      </c>
      <c r="B1305" s="44"/>
      <c r="C1305" s="44"/>
      <c r="D1305" s="44"/>
      <c r="E1305" s="43" t="s">
        <v>791</v>
      </c>
      <c r="F1305" s="44"/>
      <c r="G1305" s="44" t="s">
        <v>11</v>
      </c>
      <c r="H1305" s="45"/>
      <c r="I1305" s="64">
        <f>I1315</f>
        <v>6582.5</v>
      </c>
    </row>
    <row r="1306" spans="1:12" hidden="1" outlineLevel="2">
      <c r="A1306" s="24" t="s">
        <v>792</v>
      </c>
      <c r="B1306" s="2" t="s">
        <v>793</v>
      </c>
      <c r="C1306" s="2" t="s">
        <v>794</v>
      </c>
      <c r="D1306" s="2" t="s">
        <v>793</v>
      </c>
      <c r="E1306" s="39" t="str">
        <f>VLOOKUP($D1306,PRECIOS_REFERENCIAS!A$3:D$98,2,FALSE)</f>
        <v>LINCENCIA DESARROLLO AVEVA EDGE 1.5K CON 1 THIN CLIENT</v>
      </c>
      <c r="F1306" s="3">
        <v>1</v>
      </c>
      <c r="G1306" s="2" t="s">
        <v>18</v>
      </c>
      <c r="H1306" s="40">
        <f>VLOOKUP($D1306,PRECIOS_REFERENCIAS!A$3:D$120,4,FALSE)</f>
        <v>1782.4999999999998</v>
      </c>
      <c r="I1306" s="6">
        <f>H1306*F1306</f>
        <v>1782.4999999999998</v>
      </c>
    </row>
    <row r="1307" spans="1:12" hidden="1" outlineLevel="2">
      <c r="A1307" s="23"/>
      <c r="B1307" s="2"/>
      <c r="C1307" s="2"/>
      <c r="D1307" s="2"/>
      <c r="E1307" s="5" t="str">
        <f>VLOOKUP($D1306,PRECIOS_REFERENCIAS!A$3:D$98,3,FALSE)</f>
        <v>LICENCIA DE DESARROLLO AVEVA EDGE // Ref. EDGED-01-N-23 "AVEVA Edge 2023 STUDIO DEV 1.5K tags, 1 TC"</v>
      </c>
      <c r="F1307" s="3"/>
      <c r="G1307" s="2"/>
      <c r="H1307" s="40"/>
      <c r="I1307" s="6"/>
    </row>
    <row r="1308" spans="1:12" hidden="1" outlineLevel="2">
      <c r="A1308" s="24" t="s">
        <v>795</v>
      </c>
      <c r="B1308" s="2" t="s">
        <v>796</v>
      </c>
      <c r="C1308" s="2" t="s">
        <v>80</v>
      </c>
      <c r="D1308" s="2" t="s">
        <v>796</v>
      </c>
      <c r="E1308" s="39" t="str">
        <f>VLOOKUP($D1308,PRECIOS_REFERENCIAS!A$3:D$98,2,FALSE)</f>
        <v>GENERACIÓN AUTOMÁTICA DE NOMBRES EN SQL</v>
      </c>
      <c r="F1308" s="3">
        <v>1</v>
      </c>
      <c r="G1308" s="2" t="s">
        <v>18</v>
      </c>
      <c r="H1308" s="40">
        <f>VLOOKUP($D1308,PRECIOS_REFERENCIAS!A$3:D$120,4,FALSE)</f>
        <v>1800</v>
      </c>
      <c r="I1308" s="6">
        <f>H1308*F1308</f>
        <v>1800</v>
      </c>
    </row>
    <row r="1309" spans="1:12" hidden="1" outlineLevel="2">
      <c r="A1309" s="23"/>
      <c r="B1309" s="2"/>
      <c r="C1309" s="2"/>
      <c r="D1309" s="2"/>
      <c r="E1309" s="5" t="str">
        <f>VLOOKUP($D1308,PRECIOS_REFERENCIAS!A$3:D$98,3,FALSE)</f>
        <v>INGENIERÍA, DESARROLLO, PRUEBAS Y DOCIMENTACIÓN DE SISTEMA AUTOMATICO DE CAMBIO DE NOMBRE DE VARIABLES PARA ANALÍTICA</v>
      </c>
      <c r="F1309" s="3"/>
      <c r="G1309" s="2"/>
      <c r="H1309" s="40"/>
      <c r="I1309" s="6"/>
    </row>
    <row r="1310" spans="1:12" hidden="1" outlineLevel="2">
      <c r="A1310" s="24" t="s">
        <v>797</v>
      </c>
      <c r="B1310" s="2" t="s">
        <v>798</v>
      </c>
      <c r="C1310" s="2" t="s">
        <v>80</v>
      </c>
      <c r="D1310" s="2" t="s">
        <v>798</v>
      </c>
      <c r="E1310" s="39" t="str">
        <f>VLOOKUP($D1310,PRECIOS_REFERENCIAS!A$3:D$98,2,FALSE)</f>
        <v>DESARROLLO DE APLICACIÓN AVEVA EDGE</v>
      </c>
      <c r="F1310" s="3">
        <v>1</v>
      </c>
      <c r="G1310" s="2" t="s">
        <v>18</v>
      </c>
      <c r="H1310" s="40">
        <f>VLOOKUP($D1310,PRECIOS_REFERENCIAS!A$3:D$120,4,FALSE)</f>
        <v>3000</v>
      </c>
      <c r="I1310" s="6">
        <f>H1310*F1310</f>
        <v>3000</v>
      </c>
    </row>
    <row r="1311" spans="1:12" hidden="1" outlineLevel="2">
      <c r="A1311" s="23"/>
      <c r="B1311" s="2"/>
      <c r="C1311" s="2"/>
      <c r="D1311" s="2"/>
      <c r="E1311" s="5" t="str">
        <f>VLOOKUP($D1310,PRECIOS_REFERENCIAS!A$3:D$98,3,FALSE)</f>
        <v>DESARROLLO DE LA APLICACIÓN DE AVEVA EDGE PARA LOS DOS SISTEMAS (ARRIARAN Y BARRENDIOLA)</v>
      </c>
      <c r="F1311" s="3"/>
      <c r="G1311" s="2"/>
      <c r="H1311" s="40"/>
      <c r="I1311" s="6"/>
    </row>
    <row r="1312" spans="1:12" hidden="1" outlineLevel="2">
      <c r="A1312" s="24"/>
      <c r="B1312" s="2"/>
      <c r="C1312" s="2" t="s">
        <v>794</v>
      </c>
      <c r="D1312" s="2"/>
      <c r="E1312" s="107" t="str">
        <f>CONCATENATE(E1305," - TOTAL SOFTWARE")</f>
        <v>GENERALES (ANALÍTICA DE DATOS) - TOTAL SOFTWARE</v>
      </c>
      <c r="F1312" s="74"/>
      <c r="G1312" s="74"/>
      <c r="H1312" s="74"/>
      <c r="I1312" s="75">
        <f>I1306</f>
        <v>1782.4999999999998</v>
      </c>
    </row>
    <row r="1313" spans="1:10" hidden="1" outlineLevel="2">
      <c r="A1313" s="23"/>
      <c r="B1313" s="2"/>
      <c r="C1313" s="2" t="s">
        <v>21</v>
      </c>
      <c r="D1313" s="2"/>
      <c r="E1313" s="107" t="str">
        <f>CONCATENATE(E1305," - TOTAL INSTALACION")</f>
        <v>GENERALES (ANALÍTICA DE DATOS) - TOTAL INSTALACION</v>
      </c>
      <c r="F1313" s="74"/>
      <c r="G1313" s="74"/>
      <c r="H1313" s="74"/>
      <c r="I1313" s="75"/>
    </row>
    <row r="1314" spans="1:10" hidden="1" outlineLevel="2">
      <c r="A1314" s="23"/>
      <c r="B1314" s="2"/>
      <c r="C1314" s="2" t="s">
        <v>80</v>
      </c>
      <c r="D1314" s="2"/>
      <c r="E1314" s="107" t="str">
        <f>CONCATENATE(E1305," - TOTAL INGENIERIA")</f>
        <v>GENERALES (ANALÍTICA DE DATOS) - TOTAL INGENIERIA</v>
      </c>
      <c r="F1314" s="74"/>
      <c r="G1314" s="74"/>
      <c r="H1314" s="74"/>
      <c r="I1314" s="75">
        <f>I1308+I1310</f>
        <v>4800</v>
      </c>
      <c r="J1314" s="22">
        <f>SUM(I1312:I1314)</f>
        <v>6582.5</v>
      </c>
    </row>
    <row r="1315" spans="1:10" hidden="1" outlineLevel="2">
      <c r="E1315" s="108" t="str">
        <f>CONCATENATE("TOTAL ",A1305)</f>
        <v>TOTAL  SUBCAPÍTULO 05.01</v>
      </c>
      <c r="F1315" s="41"/>
      <c r="G1315" s="41"/>
      <c r="H1315" s="41"/>
      <c r="I1315" s="42">
        <f>SUM(I1306:I1311)</f>
        <v>6582.5</v>
      </c>
    </row>
    <row r="1316" spans="1:10" ht="12" hidden="1" customHeight="1" outlineLevel="1">
      <c r="A1316" s="44" t="s">
        <v>799</v>
      </c>
      <c r="B1316" s="44"/>
      <c r="C1316" s="44"/>
      <c r="D1316" s="44"/>
      <c r="E1316" s="43" t="s">
        <v>800</v>
      </c>
      <c r="F1316" s="44"/>
      <c r="G1316" s="44" t="s">
        <v>11</v>
      </c>
      <c r="H1316" s="45"/>
      <c r="I1316" s="64">
        <f>I1328</f>
        <v>3481.6</v>
      </c>
    </row>
    <row r="1317" spans="1:10" hidden="1" outlineLevel="2">
      <c r="A1317" s="24" t="s">
        <v>801</v>
      </c>
      <c r="B1317" s="2" t="s">
        <v>802</v>
      </c>
      <c r="C1317" s="2" t="s">
        <v>794</v>
      </c>
      <c r="D1317" s="2" t="s">
        <v>802</v>
      </c>
      <c r="E1317" s="39" t="str">
        <f>VLOOKUP($D1317,PRECIOS_REFERENCIAS!A$3:D$98,2,FALSE)</f>
        <v>LINCENCIA RUNTIME AVEVA EDGE 1.5K CON 1 THIN CLIENT</v>
      </c>
      <c r="F1317" s="3">
        <v>1</v>
      </c>
      <c r="G1317" s="2" t="s">
        <v>18</v>
      </c>
      <c r="H1317" s="40">
        <f>VLOOKUP($D1317,PRECIOS_REFERENCIAS!A$3:D$120,4,FALSE)</f>
        <v>2971.6</v>
      </c>
      <c r="I1317" s="6">
        <f>H1317*F1317</f>
        <v>2971.6</v>
      </c>
    </row>
    <row r="1318" spans="1:10" hidden="1" outlineLevel="2">
      <c r="A1318" s="23"/>
      <c r="B1318" s="2"/>
      <c r="C1318" s="2"/>
      <c r="D1318" s="2"/>
      <c r="E1318" s="5" t="str">
        <f>VLOOKUP($D1317,PRECIOS_REFERENCIAS!A$3:D$98,3,FALSE)</f>
        <v>LICENCIA RUNTIME AVEVA EDGE // Ref. EDGER-01-N-23 "AVEVA Edge 2023 SCADA RT 1.5K tags, 1 TC"</v>
      </c>
      <c r="F1318" s="3"/>
      <c r="G1318" s="2"/>
      <c r="H1318" s="40"/>
      <c r="I1318" s="6"/>
    </row>
    <row r="1319" spans="1:10" hidden="1" outlineLevel="2">
      <c r="A1319" s="24" t="s">
        <v>803</v>
      </c>
      <c r="B1319" s="2" t="s">
        <v>804</v>
      </c>
      <c r="C1319" s="2" t="s">
        <v>80</v>
      </c>
      <c r="D1319" s="2" t="s">
        <v>804</v>
      </c>
      <c r="E1319" s="39" t="str">
        <f>VLOOKUP($D1319,PRECIOS_REFERENCIAS!A$3:D$98,2,FALSE)</f>
        <v>ACTIVACIÓN DE LAS VARIABLES EN OPC UA  PLC</v>
      </c>
      <c r="F1319" s="3">
        <v>1</v>
      </c>
      <c r="G1319" s="2" t="s">
        <v>18</v>
      </c>
      <c r="H1319" s="40">
        <f>VLOOKUP($D1319,PRECIOS_REFERENCIAS!A$3:D$120,4,FALSE)</f>
        <v>90</v>
      </c>
      <c r="I1319" s="6">
        <f>H1319*F1319</f>
        <v>90</v>
      </c>
    </row>
    <row r="1320" spans="1:10" hidden="1" outlineLevel="2">
      <c r="A1320" s="23"/>
      <c r="B1320" s="2"/>
      <c r="C1320" s="2"/>
      <c r="D1320" s="2"/>
      <c r="E1320" s="5" t="str">
        <f>VLOOKUP($D1319,PRECIOS_REFERENCIAS!A$3:D$98,3,FALSE)</f>
        <v>ACTIVACIÓN DE LAS VARIABLES DEL PROYECTO EN EL SERVIDOR OPC UA DEL PROYECTO. CADA UNIDAD SON HASTA 200 VARIABLES</v>
      </c>
      <c r="F1320" s="3"/>
      <c r="G1320" s="2"/>
      <c r="H1320" s="40"/>
      <c r="I1320" s="6"/>
    </row>
    <row r="1321" spans="1:10" hidden="1" outlineLevel="2">
      <c r="A1321" s="24" t="s">
        <v>805</v>
      </c>
      <c r="B1321" s="2" t="s">
        <v>806</v>
      </c>
      <c r="C1321" s="2" t="s">
        <v>21</v>
      </c>
      <c r="D1321" s="2" t="s">
        <v>806</v>
      </c>
      <c r="E1321" s="39" t="str">
        <f>VLOOKUP($D1321,PRECIOS_REFERENCIAS!A$3:D$98,2,FALSE)</f>
        <v>INSTALACIÓN DE AVEVA EDGE &amp; SQL SERVER EXPRESS &amp; APLICACIÓN AVEVA EGDE</v>
      </c>
      <c r="F1321" s="3">
        <v>1</v>
      </c>
      <c r="G1321" s="2" t="s">
        <v>18</v>
      </c>
      <c r="H1321" s="40">
        <f>VLOOKUP($D1321,PRECIOS_REFERENCIAS!A$3:D$120,4,FALSE)</f>
        <v>120</v>
      </c>
      <c r="I1321" s="6">
        <f>H1321*F1321</f>
        <v>120</v>
      </c>
    </row>
    <row r="1322" spans="1:10" ht="22.5" hidden="1" outlineLevel="2">
      <c r="A1322" s="23"/>
      <c r="B1322" s="2"/>
      <c r="C1322" s="2"/>
      <c r="D1322" s="2"/>
      <c r="E1322" s="5" t="str">
        <f>VLOOKUP($D1321,PRECIOS_REFERENCIAS!A$3:D$98,3,FALSE)</f>
        <v>INSTALACIÓN DE LOS SOFTWARES EN LOCAL (AVEVA EDGE Y SQL SERVER EXPRESS), CARGA DE LA APLICACIÓN AVEVA EDGE Y COMPROBACIÓN CONEXIÓN CORRECTA CONECTOR BBDD</v>
      </c>
      <c r="F1322" s="3"/>
      <c r="G1322" s="2"/>
      <c r="H1322" s="40"/>
      <c r="I1322" s="6"/>
    </row>
    <row r="1323" spans="1:10" hidden="1" outlineLevel="2">
      <c r="A1323" s="24" t="s">
        <v>807</v>
      </c>
      <c r="B1323" s="2" t="s">
        <v>808</v>
      </c>
      <c r="C1323" s="2" t="s">
        <v>80</v>
      </c>
      <c r="D1323" s="2" t="s">
        <v>808</v>
      </c>
      <c r="E1323" s="39" t="str">
        <f>VLOOKUP($D1323,PRECIOS_REFERENCIAS!A$3:D$128,2,FALSE)</f>
        <v>PEM SOLUCIÓN BBDD LOCAL</v>
      </c>
      <c r="F1323" s="3">
        <v>1</v>
      </c>
      <c r="G1323" s="2" t="s">
        <v>18</v>
      </c>
      <c r="H1323" s="40">
        <f>VLOOKUP($D1323,PRECIOS_REFERENCIAS!A$3:D$120,4,FALSE)</f>
        <v>300</v>
      </c>
      <c r="I1323" s="6">
        <f>H1323*F1323</f>
        <v>300</v>
      </c>
    </row>
    <row r="1324" spans="1:10" ht="22.5" hidden="1" outlineLevel="2">
      <c r="A1324" s="23"/>
      <c r="B1324" s="38"/>
      <c r="C1324" s="38"/>
      <c r="D1324" s="38"/>
      <c r="E1324" s="5" t="str">
        <f>VLOOKUP($D1323,PRECIOS_REFERENCIAS!A$3:D$128,3,FALSE)</f>
        <v>PUESTA EN MARCHA DE LA SOLUCIÓN DESARROLLADA CON LA CORRECTA GRABACIÓN DATOS EN LOCAL Y GENERACIÓN AUTOMÁTICA NOMBRES SQL</v>
      </c>
      <c r="F1324" s="7"/>
      <c r="G1324" s="7"/>
      <c r="I1324" s="6"/>
    </row>
    <row r="1325" spans="1:10" hidden="1" outlineLevel="2">
      <c r="A1325" s="24"/>
      <c r="B1325" s="2"/>
      <c r="C1325" s="2" t="s">
        <v>794</v>
      </c>
      <c r="D1325" s="2"/>
      <c r="E1325" s="107" t="str">
        <f>CONCATENATE(E1316," - TOTAL SOFTWARE")</f>
        <v>Labores a realizar en local en Barrendiola (ANALÍTICA DE DATOS) - TOTAL SOFTWARE</v>
      </c>
      <c r="F1325" s="74"/>
      <c r="G1325" s="74"/>
      <c r="H1325" s="74"/>
      <c r="I1325" s="75">
        <f>I1317</f>
        <v>2971.6</v>
      </c>
    </row>
    <row r="1326" spans="1:10" hidden="1" outlineLevel="2">
      <c r="A1326" s="23"/>
      <c r="B1326" s="2"/>
      <c r="C1326" s="2" t="s">
        <v>21</v>
      </c>
      <c r="D1326" s="2"/>
      <c r="E1326" s="107" t="str">
        <f>CONCATENATE(E1316," - TOTAL INSTALACION")</f>
        <v>Labores a realizar en local en Barrendiola (ANALÍTICA DE DATOS) - TOTAL INSTALACION</v>
      </c>
      <c r="F1326" s="74"/>
      <c r="G1326" s="74"/>
      <c r="H1326" s="74"/>
      <c r="I1326" s="75">
        <f>I1321</f>
        <v>120</v>
      </c>
    </row>
    <row r="1327" spans="1:10" hidden="1" outlineLevel="2">
      <c r="A1327" s="23"/>
      <c r="B1327" s="2"/>
      <c r="C1327" s="2" t="s">
        <v>80</v>
      </c>
      <c r="D1327" s="2"/>
      <c r="E1327" s="107" t="str">
        <f>CONCATENATE(E1316," - TOTAL INGENIERIA")</f>
        <v>Labores a realizar en local en Barrendiola (ANALÍTICA DE DATOS) - TOTAL INGENIERIA</v>
      </c>
      <c r="F1327" s="74"/>
      <c r="G1327" s="74"/>
      <c r="H1327" s="74"/>
      <c r="I1327" s="75">
        <f>I1319+I1323</f>
        <v>390</v>
      </c>
      <c r="J1327" s="22">
        <f>SUM(I1325:I1327)</f>
        <v>3481.6</v>
      </c>
    </row>
    <row r="1328" spans="1:10" hidden="1" outlineLevel="2">
      <c r="E1328" s="108" t="str">
        <f>CONCATENATE("TOTAL ",A1316)</f>
        <v>TOTAL  SUBCAPÍTULO 05.02</v>
      </c>
      <c r="F1328" s="41"/>
      <c r="G1328" s="41"/>
      <c r="H1328" s="41"/>
      <c r="I1328" s="42">
        <f>SUM(I1317:I1324)</f>
        <v>3481.6</v>
      </c>
    </row>
    <row r="1329" spans="1:10" ht="12" hidden="1" customHeight="1" outlineLevel="1">
      <c r="A1329" s="44" t="s">
        <v>809</v>
      </c>
      <c r="B1329" s="44"/>
      <c r="C1329" s="44"/>
      <c r="D1329" s="44"/>
      <c r="E1329" s="43" t="s">
        <v>810</v>
      </c>
      <c r="F1329" s="44"/>
      <c r="G1329" s="44" t="s">
        <v>11</v>
      </c>
      <c r="H1329" s="45"/>
      <c r="I1329" s="64">
        <f>I1343</f>
        <v>3571.6</v>
      </c>
    </row>
    <row r="1330" spans="1:10" hidden="1" outlineLevel="2">
      <c r="A1330" s="24" t="s">
        <v>811</v>
      </c>
      <c r="B1330" s="2" t="s">
        <v>674</v>
      </c>
      <c r="C1330" s="2" t="s">
        <v>794</v>
      </c>
      <c r="D1330" s="2" t="s">
        <v>674</v>
      </c>
      <c r="E1330" s="39" t="str">
        <f>VLOOKUP($D1330,PRECIOS_REFERENCIAS!A$3:D$98,2,FALSE)</f>
        <v>OPC UA SERVER</v>
      </c>
      <c r="F1330" s="3">
        <v>2</v>
      </c>
      <c r="G1330" s="2" t="s">
        <v>18</v>
      </c>
      <c r="H1330" s="40">
        <f>VLOOKUP($D1330,PRECIOS_REFERENCIAS!A$3:D$120,4,FALSE)</f>
        <v>225.9375</v>
      </c>
      <c r="I1330" s="6">
        <f>H1330*F1330</f>
        <v>451.875</v>
      </c>
    </row>
    <row r="1331" spans="1:10" hidden="1" outlineLevel="2">
      <c r="A1331" s="23"/>
      <c r="B1331" s="2"/>
      <c r="C1331" s="2"/>
      <c r="D1331" s="2"/>
      <c r="E1331" s="5" t="str">
        <f>VLOOKUP($D1330,PRECIOS_REFERENCIAS!A$3:D$98,3,FALSE)</f>
        <v xml:space="preserve">SIMATIC OPC UA S7-1500 Medium DL //6ES7954-8LF03-0AA0 </v>
      </c>
      <c r="F1331" s="3"/>
      <c r="G1331" s="2"/>
      <c r="H1331" s="40"/>
      <c r="I1331" s="6"/>
    </row>
    <row r="1332" spans="1:10" hidden="1" outlineLevel="2">
      <c r="A1332" s="24" t="s">
        <v>812</v>
      </c>
      <c r="B1332" s="2" t="s">
        <v>802</v>
      </c>
      <c r="C1332" s="2" t="s">
        <v>794</v>
      </c>
      <c r="D1332" s="2" t="s">
        <v>802</v>
      </c>
      <c r="E1332" s="39" t="str">
        <f>VLOOKUP($D1332,PRECIOS_REFERENCIAS!A$3:D$98,2,FALSE)</f>
        <v>LINCENCIA RUNTIME AVEVA EDGE 1.5K CON 1 THIN CLIENT</v>
      </c>
      <c r="F1332" s="3">
        <v>1</v>
      </c>
      <c r="G1332" s="2" t="s">
        <v>18</v>
      </c>
      <c r="H1332" s="40">
        <f>VLOOKUP($D1332,PRECIOS_REFERENCIAS!A$3:D$120,4,FALSE)</f>
        <v>2971.6</v>
      </c>
      <c r="I1332" s="6">
        <f>H1332*F1332</f>
        <v>2971.6</v>
      </c>
    </row>
    <row r="1333" spans="1:10" hidden="1" outlineLevel="2">
      <c r="A1333" s="23"/>
      <c r="B1333" s="2"/>
      <c r="C1333" s="2"/>
      <c r="D1333" s="2"/>
      <c r="E1333" s="5" t="str">
        <f>VLOOKUP($D1332,PRECIOS_REFERENCIAS!A$3:D$98,3,FALSE)</f>
        <v>LICENCIA RUNTIME AVEVA EDGE // Ref. EDGER-01-N-23 "AVEVA Edge 2023 SCADA RT 1.5K tags, 1 TC"</v>
      </c>
      <c r="F1333" s="3"/>
      <c r="G1333" s="2"/>
      <c r="H1333" s="40"/>
      <c r="I1333" s="6"/>
    </row>
    <row r="1334" spans="1:10" hidden="1" outlineLevel="2">
      <c r="A1334" s="24" t="s">
        <v>813</v>
      </c>
      <c r="B1334" s="2" t="s">
        <v>804</v>
      </c>
      <c r="C1334" s="2" t="s">
        <v>80</v>
      </c>
      <c r="D1334" s="2" t="s">
        <v>804</v>
      </c>
      <c r="E1334" s="39" t="str">
        <f>VLOOKUP($D1334,PRECIOS_REFERENCIAS!A$3:D$98,2,FALSE)</f>
        <v>ACTIVACIÓN DE LAS VARIABLES EN OPC UA  PLC</v>
      </c>
      <c r="F1334" s="3">
        <v>2</v>
      </c>
      <c r="G1334" s="2" t="s">
        <v>18</v>
      </c>
      <c r="H1334" s="40">
        <f>VLOOKUP($D1334,PRECIOS_REFERENCIAS!A$3:D$120,4,FALSE)</f>
        <v>90</v>
      </c>
      <c r="I1334" s="6">
        <f>H1334*F1334</f>
        <v>180</v>
      </c>
    </row>
    <row r="1335" spans="1:10" hidden="1" outlineLevel="2">
      <c r="A1335" s="23"/>
      <c r="B1335" s="2"/>
      <c r="C1335" s="2"/>
      <c r="D1335" s="2"/>
      <c r="E1335" s="5" t="str">
        <f>VLOOKUP($D1334,PRECIOS_REFERENCIAS!A$3:D$98,3,FALSE)</f>
        <v>ACTIVACIÓN DE LAS VARIABLES DEL PROYECTO EN EL SERVIDOR OPC UA DEL PROYECTO. CADA UNIDAD SON HASTA 200 VARIABLES</v>
      </c>
      <c r="F1335" s="3"/>
      <c r="G1335" s="2"/>
      <c r="H1335" s="40"/>
      <c r="I1335" s="6"/>
    </row>
    <row r="1336" spans="1:10" hidden="1" outlineLevel="2">
      <c r="A1336" s="24" t="s">
        <v>813</v>
      </c>
      <c r="B1336" s="2" t="s">
        <v>806</v>
      </c>
      <c r="C1336" s="2" t="s">
        <v>21</v>
      </c>
      <c r="D1336" s="2" t="s">
        <v>806</v>
      </c>
      <c r="E1336" s="39" t="str">
        <f>VLOOKUP($D1336,PRECIOS_REFERENCIAS!A$3:D$98,2,FALSE)</f>
        <v>INSTALACIÓN DE AVEVA EDGE &amp; SQL SERVER EXPRESS &amp; APLICACIÓN AVEVA EGDE</v>
      </c>
      <c r="F1336" s="3">
        <v>1</v>
      </c>
      <c r="G1336" s="2" t="s">
        <v>18</v>
      </c>
      <c r="H1336" s="40">
        <f>VLOOKUP($D1336,PRECIOS_REFERENCIAS!A$3:D$120,4,FALSE)</f>
        <v>120</v>
      </c>
      <c r="I1336" s="6">
        <f>H1336*F1336</f>
        <v>120</v>
      </c>
    </row>
    <row r="1337" spans="1:10" ht="22.5" hidden="1" outlineLevel="2">
      <c r="A1337" s="23"/>
      <c r="B1337" s="2"/>
      <c r="C1337" s="2"/>
      <c r="D1337" s="2"/>
      <c r="E1337" s="5" t="str">
        <f>VLOOKUP($D1336,PRECIOS_REFERENCIAS!A$3:D$98,3,FALSE)</f>
        <v>INSTALACIÓN DE LOS SOFTWARES EN LOCAL (AVEVA EDGE Y SQL SERVER EXPRESS), CARGA DE LA APLICACIÓN AVEVA EDGE Y COMPROBACIÓN CONEXIÓN CORRECTA CONECTOR BBDD</v>
      </c>
      <c r="F1337" s="3"/>
      <c r="G1337" s="2"/>
      <c r="H1337" s="40"/>
      <c r="I1337" s="6"/>
    </row>
    <row r="1338" spans="1:10" hidden="1" outlineLevel="2">
      <c r="A1338" s="24" t="s">
        <v>814</v>
      </c>
      <c r="B1338" s="2" t="s">
        <v>808</v>
      </c>
      <c r="C1338" s="2" t="s">
        <v>80</v>
      </c>
      <c r="D1338" s="2" t="s">
        <v>808</v>
      </c>
      <c r="E1338" s="39" t="str">
        <f>VLOOKUP($D1338,PRECIOS_REFERENCIAS!A$3:D$128,2,FALSE)</f>
        <v>PEM SOLUCIÓN BBDD LOCAL</v>
      </c>
      <c r="F1338" s="3">
        <v>1</v>
      </c>
      <c r="G1338" s="2" t="s">
        <v>18</v>
      </c>
      <c r="H1338" s="40">
        <f>VLOOKUP($D1338,PRECIOS_REFERENCIAS!A$3:D$120,4,FALSE)</f>
        <v>300</v>
      </c>
      <c r="I1338" s="6">
        <f>H1338*F1338</f>
        <v>300</v>
      </c>
    </row>
    <row r="1339" spans="1:10" ht="22.5" hidden="1" outlineLevel="2">
      <c r="A1339" s="23"/>
      <c r="B1339" s="38"/>
      <c r="C1339" s="38"/>
      <c r="D1339" s="38"/>
      <c r="E1339" s="5" t="str">
        <f>VLOOKUP($D1338,PRECIOS_REFERENCIAS!A$3:D$128,3,FALSE)</f>
        <v>PUESTA EN MARCHA DE LA SOLUCIÓN DESARROLLADA CON LA CORRECTA GRABACIÓN DATOS EN LOCAL Y GENERACIÓN AUTOMÁTICA NOMBRES SQL</v>
      </c>
      <c r="F1339" s="7"/>
      <c r="G1339" s="7"/>
      <c r="I1339" s="6"/>
    </row>
    <row r="1340" spans="1:10" hidden="1" outlineLevel="2">
      <c r="A1340" s="24"/>
      <c r="B1340" s="2"/>
      <c r="C1340" s="2" t="s">
        <v>794</v>
      </c>
      <c r="D1340" s="2"/>
      <c r="E1340" s="107" t="str">
        <f>CONCATENATE(E1329," - TOTAL SOFTWARE")</f>
        <v>Labores a realizar en local en Arriaran (ANALÍTICA DE DATOS) - TOTAL SOFTWARE</v>
      </c>
      <c r="F1340" s="74"/>
      <c r="G1340" s="74"/>
      <c r="H1340" s="74"/>
      <c r="I1340" s="75">
        <f>I1332</f>
        <v>2971.6</v>
      </c>
    </row>
    <row r="1341" spans="1:10" hidden="1" outlineLevel="2">
      <c r="A1341" s="23"/>
      <c r="B1341" s="2"/>
      <c r="C1341" s="2" t="s">
        <v>21</v>
      </c>
      <c r="D1341" s="2"/>
      <c r="E1341" s="107" t="str">
        <f>CONCATENATE(E1329," - TOTAL INSTALACION")</f>
        <v>Labores a realizar en local en Arriaran (ANALÍTICA DE DATOS) - TOTAL INSTALACION</v>
      </c>
      <c r="F1341" s="74"/>
      <c r="G1341" s="74"/>
      <c r="H1341" s="74"/>
      <c r="I1341" s="75">
        <f>I1336</f>
        <v>120</v>
      </c>
    </row>
    <row r="1342" spans="1:10" hidden="1" outlineLevel="2">
      <c r="A1342" s="23"/>
      <c r="B1342" s="2"/>
      <c r="C1342" s="2" t="s">
        <v>80</v>
      </c>
      <c r="D1342" s="2"/>
      <c r="E1342" s="107" t="str">
        <f>CONCATENATE(E1329," - TOTAL INGENIERIA")</f>
        <v>Labores a realizar en local en Arriaran (ANALÍTICA DE DATOS) - TOTAL INGENIERIA</v>
      </c>
      <c r="F1342" s="74"/>
      <c r="G1342" s="74"/>
      <c r="H1342" s="74"/>
      <c r="I1342" s="75">
        <f>I1334+I1338</f>
        <v>480</v>
      </c>
      <c r="J1342" s="22">
        <f>SUM(I1340:I1342)</f>
        <v>3571.6</v>
      </c>
    </row>
    <row r="1343" spans="1:10" hidden="1" outlineLevel="2">
      <c r="E1343" s="108" t="str">
        <f>CONCATENATE("TOTAL ",A1329)</f>
        <v>TOTAL  SUBCAPÍTULO 05.03</v>
      </c>
      <c r="F1343" s="41"/>
      <c r="G1343" s="41"/>
      <c r="H1343" s="41"/>
      <c r="I1343" s="42">
        <f>SUM(I1332:I1339)</f>
        <v>3571.6</v>
      </c>
    </row>
    <row r="1344" spans="1:10" ht="12" hidden="1" customHeight="1" outlineLevel="1">
      <c r="A1344" s="44" t="s">
        <v>815</v>
      </c>
      <c r="B1344" s="44"/>
      <c r="C1344" s="44"/>
      <c r="D1344" s="44"/>
      <c r="E1344" s="43" t="s">
        <v>816</v>
      </c>
      <c r="F1344" s="44"/>
      <c r="G1344" s="44" t="s">
        <v>11</v>
      </c>
      <c r="H1344" s="45"/>
      <c r="I1344" s="64">
        <f>I1356</f>
        <v>5687.7647058823532</v>
      </c>
    </row>
    <row r="1345" spans="1:10" hidden="1" outlineLevel="2">
      <c r="A1345" s="24" t="s">
        <v>817</v>
      </c>
      <c r="B1345" s="2" t="s">
        <v>818</v>
      </c>
      <c r="C1345" s="2" t="s">
        <v>794</v>
      </c>
      <c r="D1345" s="2" t="s">
        <v>818</v>
      </c>
      <c r="E1345" s="39" t="str">
        <f>VLOOKUP($D1345,PRECIOS_REFERENCIAS!A$3:D$98,2,FALSE)</f>
        <v>LICENCIA DE SQL SERVER STANDARD a INSTALAR EN SERVIDOR CENTRAL</v>
      </c>
      <c r="F1345" s="3">
        <v>2</v>
      </c>
      <c r="G1345" s="2" t="s">
        <v>18</v>
      </c>
      <c r="H1345" s="40">
        <f>VLOOKUP($D1345,PRECIOS_REFERENCIAS!A$3:D$120,4,FALSE)</f>
        <v>1073.8823529411764</v>
      </c>
      <c r="I1345" s="6">
        <f>H1345*F1345</f>
        <v>2147.7647058823527</v>
      </c>
    </row>
    <row r="1346" spans="1:10" hidden="1" outlineLevel="2">
      <c r="A1346" s="23"/>
      <c r="B1346" s="2"/>
      <c r="C1346" s="2"/>
      <c r="D1346" s="2"/>
      <c r="E1346" s="5" t="str">
        <f>VLOOKUP($D1345,PRECIOS_REFERENCIAS!A$3:D$98,3,FALSE)</f>
        <v>MICROSOFT SQL SERVER 2022 STANDARD CON DOS LICENCIAS CAL</v>
      </c>
      <c r="F1346" s="3"/>
      <c r="G1346" s="2"/>
      <c r="H1346" s="40"/>
      <c r="I1346" s="6"/>
    </row>
    <row r="1347" spans="1:10" hidden="1" outlineLevel="2">
      <c r="A1347" s="24" t="s">
        <v>819</v>
      </c>
      <c r="B1347" s="2" t="s">
        <v>820</v>
      </c>
      <c r="C1347" s="2" t="s">
        <v>80</v>
      </c>
      <c r="D1347" s="2" t="s">
        <v>820</v>
      </c>
      <c r="E1347" s="39" t="str">
        <f>VLOOKUP($D1347,PRECIOS_REFERENCIAS!A$3:D$128,2,FALSE)</f>
        <v>PROGRAMACIÓN DE LAS PETICIONES SQL EN BBDD GLOBAL</v>
      </c>
      <c r="F1347" s="3">
        <v>1</v>
      </c>
      <c r="G1347" s="2" t="s">
        <v>18</v>
      </c>
      <c r="H1347" s="40">
        <f>VLOOKUP($D1347,PRECIOS_REFERENCIAS!A$3:D$120,4,FALSE)</f>
        <v>1920</v>
      </c>
      <c r="I1347" s="6">
        <f>H1347*F1347</f>
        <v>1920</v>
      </c>
    </row>
    <row r="1348" spans="1:10" ht="22.5" hidden="1" outlineLevel="2">
      <c r="A1348" s="23"/>
      <c r="B1348" s="2"/>
      <c r="C1348" s="2"/>
      <c r="D1348" s="2"/>
      <c r="E1348" s="5" t="str">
        <f>VLOOKUP($D1347,PRECIOS_REFERENCIAS!A$3:D$128,3,FALSE)</f>
        <v>PROGRACIÓN DE LAS PETICIONES A REALIZAR DESDE LA BBDD GLOBAL A LAS 2 BBDD LOCALES PARA LA RECOGIDA DE DATOS DIARIOS. CONTEMPLANDO EL PROCESO AUTOMÁTICO DE CAMBIO DE NOMBRES</v>
      </c>
      <c r="F1348" s="3"/>
      <c r="G1348" s="2"/>
      <c r="H1348" s="40"/>
      <c r="I1348" s="6"/>
    </row>
    <row r="1349" spans="1:10" hidden="1" outlineLevel="2">
      <c r="A1349" s="24" t="s">
        <v>821</v>
      </c>
      <c r="B1349" s="2" t="s">
        <v>822</v>
      </c>
      <c r="C1349" s="2" t="s">
        <v>80</v>
      </c>
      <c r="D1349" s="2" t="s">
        <v>822</v>
      </c>
      <c r="E1349" s="39" t="str">
        <f>VLOOKUP($D1349,PRECIOS_REFERENCIAS!A$3:D$128,2,FALSE)</f>
        <v>PEM SOLUCIÓN BBDD LOCAL</v>
      </c>
      <c r="F1349" s="3">
        <v>2</v>
      </c>
      <c r="G1349" s="2" t="s">
        <v>18</v>
      </c>
      <c r="H1349" s="40">
        <f>VLOOKUP($D1349,PRECIOS_REFERENCIAS!A$3:D$120,4,FALSE)</f>
        <v>720</v>
      </c>
      <c r="I1349" s="6">
        <f>H1349*F1349</f>
        <v>1440</v>
      </c>
    </row>
    <row r="1350" spans="1:10" ht="22.5" hidden="1" outlineLevel="2">
      <c r="A1350" s="23"/>
      <c r="B1350" s="2"/>
      <c r="C1350" s="2"/>
      <c r="D1350" s="2"/>
      <c r="E1350" s="5" t="str">
        <f>VLOOKUP($D1349,PRECIOS_REFERENCIAS!A$3:D$128,3,FALSE)</f>
        <v>PUESTA EN MARCHA DE LA SOLUCIÓN DESARROLLADA CON LA CORRECTA GRABACIÓN DATOS EN GLOBAL DE LOS 2 SISTEMAS Y GENERACIÓN AUTOMÁTICA NOMBRES SQL</v>
      </c>
      <c r="F1350" s="3"/>
      <c r="G1350" s="2"/>
      <c r="H1350" s="40"/>
      <c r="I1350" s="6"/>
    </row>
    <row r="1351" spans="1:10" hidden="1" outlineLevel="2">
      <c r="A1351" s="24" t="s">
        <v>821</v>
      </c>
      <c r="B1351" s="2" t="s">
        <v>823</v>
      </c>
      <c r="C1351" s="2" t="s">
        <v>21</v>
      </c>
      <c r="D1351" s="2" t="s">
        <v>823</v>
      </c>
      <c r="E1351" s="39" t="str">
        <f>VLOOKUP($D1351,PRECIOS_REFERENCIAS!A$3:D$128,2,FALSE)</f>
        <v>INSTALACIÓN DE  SQL SERVER STANDARD CON USUARIOS, CAL</v>
      </c>
      <c r="F1351" s="3">
        <v>1</v>
      </c>
      <c r="G1351" s="2" t="s">
        <v>18</v>
      </c>
      <c r="H1351" s="40">
        <f>VLOOKUP($D1351,PRECIOS_REFERENCIAS!A$3:D$120,4,FALSE)</f>
        <v>180</v>
      </c>
      <c r="I1351" s="6">
        <f>H1351*F1351</f>
        <v>180</v>
      </c>
    </row>
    <row r="1352" spans="1:10" ht="22.5" hidden="1" outlineLevel="2">
      <c r="A1352" s="23"/>
      <c r="B1352" s="2"/>
      <c r="C1352" s="2"/>
      <c r="D1352" s="2"/>
      <c r="E1352" s="5" t="str">
        <f>VLOOKUP($D1351,PRECIOS_REFERENCIAS!A$3:D$128,3,FALSE)</f>
        <v>INSTALACIÓN DE SOFTWARE SQL SERVER STANDARD, CONFIGURACIÓN DE LOS USUARIOS DE ACCESO, LICENCIAS CAL Y CONECTORES CON BBDD LOCALES</v>
      </c>
      <c r="F1352" s="3"/>
      <c r="G1352" s="2"/>
      <c r="H1352" s="40"/>
      <c r="I1352" s="6"/>
    </row>
    <row r="1353" spans="1:10" hidden="1" outlineLevel="2">
      <c r="A1353" s="24"/>
      <c r="B1353" s="2"/>
      <c r="C1353" s="2" t="s">
        <v>794</v>
      </c>
      <c r="D1353" s="2"/>
      <c r="E1353" s="107" t="str">
        <f>CONCATENATE(E1344," - TOTAL SOFTWARE")</f>
        <v>Labores a realizar en servidor global GUK (ANALÍTICA DE DATOS) - TOTAL SOFTWARE</v>
      </c>
      <c r="F1353" s="74"/>
      <c r="G1353" s="74"/>
      <c r="H1353" s="74"/>
      <c r="I1353" s="75">
        <f>I1345</f>
        <v>2147.7647058823527</v>
      </c>
    </row>
    <row r="1354" spans="1:10" hidden="1" outlineLevel="2">
      <c r="A1354" s="23"/>
      <c r="B1354" s="2"/>
      <c r="C1354" s="2" t="s">
        <v>21</v>
      </c>
      <c r="D1354" s="2"/>
      <c r="E1354" s="107" t="str">
        <f>CONCATENATE(E1344," - TOTAL INSTALACION")</f>
        <v>Labores a realizar en servidor global GUK (ANALÍTICA DE DATOS) - TOTAL INSTALACION</v>
      </c>
      <c r="F1354" s="74"/>
      <c r="G1354" s="74"/>
      <c r="H1354" s="74"/>
      <c r="I1354" s="75">
        <f>I1351</f>
        <v>180</v>
      </c>
    </row>
    <row r="1355" spans="1:10" hidden="1" outlineLevel="2">
      <c r="A1355" s="23"/>
      <c r="B1355" s="2"/>
      <c r="C1355" s="2" t="s">
        <v>80</v>
      </c>
      <c r="D1355" s="2"/>
      <c r="E1355" s="107" t="str">
        <f>CONCATENATE(E1344," - TOTAL INGENIERIA")</f>
        <v>Labores a realizar en servidor global GUK (ANALÍTICA DE DATOS) - TOTAL INGENIERIA</v>
      </c>
      <c r="F1355" s="74"/>
      <c r="G1355" s="74"/>
      <c r="H1355" s="74"/>
      <c r="I1355" s="75">
        <f>I1347+I1349</f>
        <v>3360</v>
      </c>
      <c r="J1355" s="22">
        <f>SUM(I1353:I1355)</f>
        <v>5687.7647058823532</v>
      </c>
    </row>
    <row r="1356" spans="1:10" hidden="1" outlineLevel="2">
      <c r="E1356" s="108" t="str">
        <f>CONCATENATE("TOTAL ",A1344)</f>
        <v>TOTAL  SUBCAPÍTULO 05.04</v>
      </c>
      <c r="F1356" s="41"/>
      <c r="G1356" s="41"/>
      <c r="H1356" s="41"/>
      <c r="I1356" s="42">
        <f>SUM(I1345:I1352)</f>
        <v>5687.7647058823532</v>
      </c>
    </row>
    <row r="1357" spans="1:10" s="8" customFormat="1" hidden="1" outlineLevel="1">
      <c r="A1357" s="7"/>
      <c r="B1357" s="7"/>
      <c r="C1357" s="7"/>
      <c r="D1357" s="7"/>
      <c r="E1357" s="1" t="s">
        <v>824</v>
      </c>
      <c r="F1357" s="1"/>
      <c r="G1357" s="1"/>
      <c r="H1357" s="1"/>
      <c r="I1357" s="9">
        <f>I1356+I1343+I1328+I1315</f>
        <v>19323.464705882354</v>
      </c>
    </row>
    <row r="1358" spans="1:10" collapsed="1">
      <c r="A1358" s="67" t="s">
        <v>825</v>
      </c>
      <c r="B1358" s="68"/>
      <c r="C1358" s="68"/>
      <c r="D1358" s="68" t="s">
        <v>11</v>
      </c>
      <c r="E1358" s="69" t="s">
        <v>826</v>
      </c>
      <c r="F1358" s="69"/>
      <c r="G1358" s="69"/>
      <c r="H1358" s="69"/>
      <c r="I1358" s="71">
        <f>I1361</f>
        <v>1000</v>
      </c>
    </row>
    <row r="1359" spans="1:10" hidden="1" outlineLevel="2">
      <c r="A1359" s="24" t="s">
        <v>827</v>
      </c>
      <c r="B1359" s="12" t="s">
        <v>826</v>
      </c>
      <c r="C1359" s="12"/>
      <c r="D1359" s="2"/>
      <c r="E1359" s="39" t="s">
        <v>828</v>
      </c>
      <c r="F1359" s="3">
        <v>1</v>
      </c>
      <c r="G1359" s="2" t="s">
        <v>18</v>
      </c>
      <c r="H1359" s="40">
        <v>1000</v>
      </c>
      <c r="I1359" s="6">
        <f>H1359*F1359</f>
        <v>1000</v>
      </c>
    </row>
    <row r="1360" spans="1:10" ht="45" hidden="1" outlineLevel="2">
      <c r="A1360" s="23"/>
      <c r="B1360" s="13"/>
      <c r="C1360" s="13"/>
      <c r="D1360" s="4"/>
      <c r="E1360" s="5" t="s">
        <v>829</v>
      </c>
      <c r="F1360" s="15"/>
    </row>
    <row r="1361" spans="1:10" s="8" customFormat="1" hidden="1" outlineLevel="2">
      <c r="A1361" s="7"/>
      <c r="B1361" s="7"/>
      <c r="C1361" s="7"/>
      <c r="D1361" s="7"/>
      <c r="E1361" s="1" t="s">
        <v>830</v>
      </c>
      <c r="F1361" s="1"/>
      <c r="G1361" s="1"/>
      <c r="H1361" s="1"/>
      <c r="I1361" s="9">
        <f>SUM(I1359:I1360)</f>
        <v>1000</v>
      </c>
      <c r="J1361" s="109">
        <f>I1361</f>
        <v>1000</v>
      </c>
    </row>
    <row r="1362" spans="1:10" collapsed="1">
      <c r="A1362" s="67" t="s">
        <v>831</v>
      </c>
      <c r="B1362" s="68"/>
      <c r="C1362" s="68"/>
      <c r="D1362" s="68" t="s">
        <v>11</v>
      </c>
      <c r="E1362" s="69" t="s">
        <v>832</v>
      </c>
      <c r="F1362" s="69"/>
      <c r="G1362" s="69"/>
      <c r="H1362" s="69"/>
      <c r="I1362" s="71">
        <f>I1365</f>
        <v>300</v>
      </c>
    </row>
    <row r="1363" spans="1:10" hidden="1" outlineLevel="1">
      <c r="A1363" s="24" t="s">
        <v>833</v>
      </c>
      <c r="B1363" s="12" t="s">
        <v>834</v>
      </c>
      <c r="C1363" s="12"/>
      <c r="D1363" s="2" t="s">
        <v>776</v>
      </c>
      <c r="E1363" s="39" t="s">
        <v>835</v>
      </c>
      <c r="F1363" s="3">
        <v>1</v>
      </c>
      <c r="G1363" s="2" t="s">
        <v>18</v>
      </c>
      <c r="H1363" s="40">
        <v>300</v>
      </c>
      <c r="I1363" s="6">
        <f>H1363*F1363</f>
        <v>300</v>
      </c>
    </row>
    <row r="1364" spans="1:10" ht="22.5" hidden="1" outlineLevel="1">
      <c r="A1364" s="23"/>
      <c r="B1364" s="13"/>
      <c r="C1364" s="13"/>
      <c r="D1364" s="4"/>
      <c r="E1364" s="5" t="str">
        <f>VLOOKUP($D1363,PRECIOS_REFERENCIAS!A$3:D$90,3,FALSE)</f>
        <v>ANÁLISIS GENERAL DE LA SOLUCIÓN DE COMUNICACIONES LÍNEA DE DEDICADA Y PROPUESTA DE SOLUCIÓN DEFINITIVA. ANÁLISIS DE CARACTERÍSTICAS DEL CABLE SEGÚN PPT DE LOS 13 SEGMENTOS DE TELEMANDO</v>
      </c>
      <c r="F1364" s="15"/>
    </row>
    <row r="1365" spans="1:10" s="8" customFormat="1" hidden="1" outlineLevel="1">
      <c r="A1365" s="7"/>
      <c r="B1365" s="7"/>
      <c r="C1365" s="7"/>
      <c r="D1365" s="7"/>
      <c r="E1365" s="1" t="s">
        <v>836</v>
      </c>
      <c r="F1365" s="1"/>
      <c r="G1365" s="1"/>
      <c r="H1365" s="1"/>
      <c r="I1365" s="9">
        <f>SUM(I1363:I1364)</f>
        <v>300</v>
      </c>
      <c r="J1365" s="109">
        <f>I1365</f>
        <v>300</v>
      </c>
    </row>
    <row r="1366" spans="1:10" collapsed="1">
      <c r="E1366" s="1" t="s">
        <v>0</v>
      </c>
      <c r="F1366" s="1"/>
      <c r="G1366" s="1"/>
      <c r="H1366" s="1"/>
      <c r="I1366" s="9">
        <f>I1139+I1272+I1290+I1303+I1357+I1361+I1365</f>
        <v>209859.01574157213</v>
      </c>
    </row>
  </sheetData>
  <autoFilter ref="A3:I1366" xr:uid="{00000000-0001-0000-0200-000000000000}">
    <filterColumn colId="5" showButton="0"/>
  </autoFilter>
  <mergeCells count="2">
    <mergeCell ref="A1:I1"/>
    <mergeCell ref="F3:G3"/>
  </mergeCells>
  <phoneticPr fontId="0" type="noConversion"/>
  <pageMargins left="0.75" right="0.75" top="1" bottom="1" header="0" footer="0"/>
  <pageSetup paperSize="9" orientation="portrait" horizontalDpi="0" verticalDpi="0" r:id="rId1"/>
  <headerFooter alignWithMargins="0"/>
  <ignoredErrors>
    <ignoredError sqref="E1030 E186 E189:E190 E193:E194 E197:E198 E201:E202 E218:E219 E224:E225 E250:E251 E254:E255 E258:E259 E289:E290 E295:E296 E315:E316 E319:E320 E323:E324 E329:E330 E333:E334 E337:E338 E341:E342 E398:E399 E467:E468 E546:E547 E603:E604 E674:E675 E731:E732 E808:E809 E871:E872 E938:E939 E997:E998 E360:E361 E419:E420 E498:E499 E565:E566 E634:E635 E691:E692 E762:E763 E829:E830 E898:E899 E955:E956 E1020:E1021 E366:E367 E378:E379 E386:E387 E390:E391 E394:E395 E425:E426 E445:E446 E449:E450 E453:E454 E459:E460 E463:E464 E504:E505 E524:E525 E528:E529 E532:E533 E538:E539 E542:E543 E571:E572 E591:E592 E595:E596 E599:E600 E640:E641 E650:E651 E654:E655 E658:E659 E662:E663 E666:E667 E670:E671 E697:E698 E723:E724 E727:E728 E768:E769 E780:E781 E784:E785 E788:E789 E792:E793 E796:E797 E800:E801 E804:E805 E835:E836 E857:E858 E863:E864 E867:E868 E904:E905 E916:E917 E922:E923 E926:E927 E930:E931 E934:E935 E961:E962 E983:E984 E989:E990 E993:E994 E1026:E1027 E228:E229 E299:E300 E370:E371 E429:E430 E508:E509 E575:E576 E644:E645 E772:E773 E839:E840 E908:E909 E965:E966" formula="1"/>
    <ignoredError sqref="H89 H93 H95 E96 H99 E100 H165 H169 H177 E178 H181 E185 E169 E165 E89 I1361 I1365" emptyCellReference="1"/>
    <ignoredError sqref="E95 E99 E166 E177 E181:E182 E90 E93:E94 E170" formula="1" emptyCellReference="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02"/>
  <sheetViews>
    <sheetView topLeftCell="A74" zoomScale="115" zoomScaleNormal="115" workbookViewId="0">
      <selection activeCell="C90" sqref="C90"/>
    </sheetView>
  </sheetViews>
  <sheetFormatPr defaultColWidth="11.42578125" defaultRowHeight="12.75"/>
  <cols>
    <col min="1" max="1" width="20.5703125" bestFit="1" customWidth="1"/>
    <col min="2" max="2" width="70.5703125" customWidth="1"/>
    <col min="3" max="3" width="89.5703125" customWidth="1"/>
    <col min="4" max="4" width="12.140625" bestFit="1" customWidth="1"/>
  </cols>
  <sheetData>
    <row r="1" spans="1:5" ht="13.5" thickBot="1">
      <c r="B1" s="113" t="s">
        <v>837</v>
      </c>
      <c r="C1" s="114"/>
      <c r="D1" s="115"/>
    </row>
    <row r="2" spans="1:5" ht="24">
      <c r="B2" s="34" t="s">
        <v>838</v>
      </c>
      <c r="C2" s="35" t="s">
        <v>839</v>
      </c>
      <c r="D2" s="36" t="s">
        <v>840</v>
      </c>
    </row>
    <row r="3" spans="1:5">
      <c r="A3" s="37" t="s">
        <v>104</v>
      </c>
      <c r="B3" s="26" t="s">
        <v>841</v>
      </c>
      <c r="C3" s="25" t="s">
        <v>842</v>
      </c>
      <c r="D3" s="83">
        <v>416.28749999999997</v>
      </c>
      <c r="E3" s="6"/>
    </row>
    <row r="4" spans="1:5">
      <c r="A4" s="37" t="s">
        <v>153</v>
      </c>
      <c r="B4" s="26" t="s">
        <v>843</v>
      </c>
      <c r="C4" s="25" t="s">
        <v>844</v>
      </c>
      <c r="D4" s="83">
        <v>180.01500000000001</v>
      </c>
      <c r="E4" s="6"/>
    </row>
    <row r="5" spans="1:5">
      <c r="A5" s="37" t="s">
        <v>156</v>
      </c>
      <c r="B5" s="26" t="s">
        <v>845</v>
      </c>
      <c r="C5" s="25" t="s">
        <v>846</v>
      </c>
      <c r="D5" s="83">
        <v>263.13750000000005</v>
      </c>
      <c r="E5" s="6"/>
    </row>
    <row r="6" spans="1:5">
      <c r="A6" s="37" t="s">
        <v>108</v>
      </c>
      <c r="B6" s="26" t="s">
        <v>847</v>
      </c>
      <c r="C6" s="25" t="s">
        <v>848</v>
      </c>
      <c r="D6" s="83">
        <v>177.54749999999999</v>
      </c>
      <c r="E6" s="6"/>
    </row>
    <row r="7" spans="1:5">
      <c r="A7" s="37" t="s">
        <v>165</v>
      </c>
      <c r="B7" s="26" t="s">
        <v>849</v>
      </c>
      <c r="C7" s="25" t="s">
        <v>850</v>
      </c>
      <c r="D7" s="83">
        <v>177.54749999999999</v>
      </c>
      <c r="E7" s="6"/>
    </row>
    <row r="8" spans="1:5">
      <c r="A8" s="37" t="s">
        <v>114</v>
      </c>
      <c r="B8" s="26" t="s">
        <v>851</v>
      </c>
      <c r="C8" s="25" t="s">
        <v>852</v>
      </c>
      <c r="D8" s="83">
        <v>372.39749999999998</v>
      </c>
      <c r="E8" s="6"/>
    </row>
    <row r="9" spans="1:5">
      <c r="A9" s="37" t="s">
        <v>170</v>
      </c>
      <c r="B9" s="26" t="s">
        <v>853</v>
      </c>
      <c r="C9" s="25" t="s">
        <v>854</v>
      </c>
      <c r="D9" s="83">
        <v>243.10499999999999</v>
      </c>
      <c r="E9" s="6"/>
    </row>
    <row r="10" spans="1:5">
      <c r="A10" s="37" t="s">
        <v>159</v>
      </c>
      <c r="B10" s="81" t="s">
        <v>855</v>
      </c>
      <c r="C10" s="82" t="s">
        <v>856</v>
      </c>
      <c r="D10" s="85">
        <v>518.66999999999996</v>
      </c>
      <c r="E10" s="6"/>
    </row>
    <row r="11" spans="1:5">
      <c r="A11" s="37" t="s">
        <v>202</v>
      </c>
      <c r="B11" s="81" t="s">
        <v>857</v>
      </c>
      <c r="C11" s="82" t="s">
        <v>858</v>
      </c>
      <c r="D11" s="92">
        <v>183.48750000000001</v>
      </c>
      <c r="E11" s="6"/>
    </row>
    <row r="12" spans="1:5" ht="13.5" thickBot="1">
      <c r="A12" s="37" t="s">
        <v>197</v>
      </c>
      <c r="B12" s="52" t="s">
        <v>859</v>
      </c>
      <c r="C12" s="53" t="s">
        <v>860</v>
      </c>
      <c r="D12" s="86">
        <v>130.19999999999999</v>
      </c>
      <c r="E12" s="6"/>
    </row>
    <row r="13" spans="1:5" ht="13.5" thickTop="1">
      <c r="A13" s="37" t="s">
        <v>105</v>
      </c>
      <c r="B13" s="26" t="s">
        <v>861</v>
      </c>
      <c r="C13" s="25" t="s">
        <v>862</v>
      </c>
      <c r="D13" s="87">
        <v>416.92499999999995</v>
      </c>
      <c r="E13" s="6"/>
    </row>
    <row r="14" spans="1:5">
      <c r="A14" s="37" t="s">
        <v>109</v>
      </c>
      <c r="B14" s="26" t="s">
        <v>863</v>
      </c>
      <c r="C14" s="25" t="s">
        <v>864</v>
      </c>
      <c r="D14" s="83">
        <v>308.82</v>
      </c>
      <c r="E14" s="6"/>
    </row>
    <row r="15" spans="1:5">
      <c r="A15" s="37" t="s">
        <v>111</v>
      </c>
      <c r="B15" s="26" t="s">
        <v>865</v>
      </c>
      <c r="C15" s="25" t="s">
        <v>866</v>
      </c>
      <c r="D15" s="83">
        <v>34.987499999999997</v>
      </c>
      <c r="E15" s="6"/>
    </row>
    <row r="16" spans="1:5">
      <c r="A16" s="37" t="s">
        <v>115</v>
      </c>
      <c r="B16" s="26" t="s">
        <v>851</v>
      </c>
      <c r="C16" s="25" t="s">
        <v>867</v>
      </c>
      <c r="D16" s="83">
        <v>803.31</v>
      </c>
      <c r="E16" s="6"/>
    </row>
    <row r="17" spans="1:5">
      <c r="A17" s="37" t="s">
        <v>138</v>
      </c>
      <c r="B17" s="26" t="s">
        <v>868</v>
      </c>
      <c r="C17" s="25" t="s">
        <v>869</v>
      </c>
      <c r="D17" s="83">
        <v>264.97500000000002</v>
      </c>
      <c r="E17" s="6"/>
    </row>
    <row r="18" spans="1:5">
      <c r="A18" s="37" t="s">
        <v>54</v>
      </c>
      <c r="B18" s="26" t="s">
        <v>870</v>
      </c>
      <c r="C18" s="25" t="s">
        <v>871</v>
      </c>
      <c r="D18" s="83">
        <v>612.79</v>
      </c>
      <c r="E18" s="6"/>
    </row>
    <row r="19" spans="1:5" ht="12.75" customHeight="1" thickBot="1">
      <c r="A19" s="37" t="s">
        <v>210</v>
      </c>
      <c r="B19" s="28" t="s">
        <v>872</v>
      </c>
      <c r="C19" s="29" t="s">
        <v>873</v>
      </c>
      <c r="D19" s="84">
        <v>297.52999999999997</v>
      </c>
      <c r="E19" s="6"/>
    </row>
    <row r="20" spans="1:5" ht="15" customHeight="1">
      <c r="A20" s="37" t="s">
        <v>59</v>
      </c>
      <c r="B20" s="30" t="s">
        <v>874</v>
      </c>
      <c r="C20" s="31" t="s">
        <v>875</v>
      </c>
      <c r="D20" s="32">
        <v>828</v>
      </c>
    </row>
    <row r="21" spans="1:5" ht="15" customHeight="1">
      <c r="A21" s="37" t="s">
        <v>258</v>
      </c>
      <c r="B21" s="26" t="s">
        <v>876</v>
      </c>
      <c r="C21" s="25" t="s">
        <v>877</v>
      </c>
      <c r="D21" s="27">
        <v>1024.6500000000001</v>
      </c>
    </row>
    <row r="22" spans="1:5" ht="15" customHeight="1">
      <c r="A22" s="37" t="s">
        <v>176</v>
      </c>
      <c r="B22" s="26" t="s">
        <v>878</v>
      </c>
      <c r="C22" s="25" t="s">
        <v>879</v>
      </c>
      <c r="D22" s="27">
        <v>1024.6500000000001</v>
      </c>
    </row>
    <row r="23" spans="1:5" ht="15" customHeight="1">
      <c r="A23" s="37" t="s">
        <v>67</v>
      </c>
      <c r="B23" s="26" t="s">
        <v>880</v>
      </c>
      <c r="C23" s="25" t="s">
        <v>881</v>
      </c>
      <c r="D23" s="27">
        <v>560.25</v>
      </c>
    </row>
    <row r="24" spans="1:5" ht="15" customHeight="1">
      <c r="A24" s="37" t="s">
        <v>683</v>
      </c>
      <c r="B24" s="26" t="s">
        <v>882</v>
      </c>
      <c r="C24" s="25" t="s">
        <v>883</v>
      </c>
      <c r="D24" s="27">
        <v>1401.56</v>
      </c>
    </row>
    <row r="25" spans="1:5" ht="15" customHeight="1">
      <c r="A25" s="37" t="s">
        <v>71</v>
      </c>
      <c r="B25" s="26" t="s">
        <v>884</v>
      </c>
      <c r="C25" s="25" t="s">
        <v>885</v>
      </c>
      <c r="D25" s="27">
        <v>152.67857142857142</v>
      </c>
    </row>
    <row r="26" spans="1:5" ht="15" customHeight="1">
      <c r="A26" s="37" t="s">
        <v>686</v>
      </c>
      <c r="B26" s="26" t="s">
        <v>886</v>
      </c>
      <c r="C26" s="25" t="s">
        <v>887</v>
      </c>
      <c r="D26" s="27">
        <v>10.71</v>
      </c>
    </row>
    <row r="27" spans="1:5" ht="15" customHeight="1">
      <c r="A27" s="37" t="s">
        <v>63</v>
      </c>
      <c r="B27" s="26" t="s">
        <v>888</v>
      </c>
      <c r="C27" s="25" t="s">
        <v>889</v>
      </c>
      <c r="D27" s="83">
        <v>187</v>
      </c>
    </row>
    <row r="28" spans="1:5">
      <c r="A28" s="37" t="s">
        <v>495</v>
      </c>
      <c r="B28" s="26" t="s">
        <v>890</v>
      </c>
      <c r="C28" s="25" t="s">
        <v>891</v>
      </c>
      <c r="D28" s="83">
        <v>134.66</v>
      </c>
    </row>
    <row r="29" spans="1:5">
      <c r="A29" s="37" t="s">
        <v>768</v>
      </c>
      <c r="B29" s="26" t="s">
        <v>892</v>
      </c>
      <c r="C29" s="25" t="s">
        <v>893</v>
      </c>
      <c r="D29" s="83">
        <v>291.79000000000002</v>
      </c>
    </row>
    <row r="30" spans="1:5">
      <c r="A30" s="37" t="s">
        <v>894</v>
      </c>
      <c r="B30" s="26" t="s">
        <v>895</v>
      </c>
      <c r="C30" s="25" t="s">
        <v>896</v>
      </c>
      <c r="D30" s="27">
        <v>233.51</v>
      </c>
    </row>
    <row r="31" spans="1:5" ht="13.5" thickBot="1">
      <c r="A31" s="37" t="s">
        <v>75</v>
      </c>
      <c r="B31" s="90" t="s">
        <v>897</v>
      </c>
      <c r="C31" s="91" t="s">
        <v>898</v>
      </c>
      <c r="D31" s="86">
        <v>97.65</v>
      </c>
    </row>
    <row r="32" spans="1:5" ht="14.25" customHeight="1" thickTop="1">
      <c r="A32" s="37" t="s">
        <v>26</v>
      </c>
      <c r="B32" s="88" t="s">
        <v>899</v>
      </c>
      <c r="C32" s="89" t="s">
        <v>900</v>
      </c>
      <c r="D32" s="87">
        <v>2648.7150000000001</v>
      </c>
      <c r="E32" s="6"/>
    </row>
    <row r="33" spans="1:5" ht="13.5" thickBot="1">
      <c r="A33" s="37" t="s">
        <v>901</v>
      </c>
      <c r="B33" s="26" t="s">
        <v>902</v>
      </c>
      <c r="C33" s="25" t="s">
        <v>903</v>
      </c>
      <c r="D33" s="83">
        <v>19.012500000000003</v>
      </c>
      <c r="E33" s="6"/>
    </row>
    <row r="34" spans="1:5" ht="13.5" thickTop="1">
      <c r="A34" s="37" t="s">
        <v>15</v>
      </c>
      <c r="B34" s="26" t="s">
        <v>904</v>
      </c>
      <c r="C34" s="25" t="s">
        <v>905</v>
      </c>
      <c r="D34" s="55">
        <v>2.6481182073295662</v>
      </c>
      <c r="E34" s="6"/>
    </row>
    <row r="35" spans="1:5">
      <c r="A35" s="37" t="s">
        <v>906</v>
      </c>
      <c r="B35" s="26" t="s">
        <v>907</v>
      </c>
      <c r="C35" s="25" t="s">
        <v>908</v>
      </c>
      <c r="D35" s="50">
        <v>19.012500000000003</v>
      </c>
      <c r="E35" s="6"/>
    </row>
    <row r="36" spans="1:5">
      <c r="A36" s="37" t="s">
        <v>17</v>
      </c>
      <c r="B36" s="26" t="s">
        <v>909</v>
      </c>
      <c r="C36" s="25" t="s">
        <v>910</v>
      </c>
      <c r="D36" s="50">
        <v>28.552500000000002</v>
      </c>
      <c r="E36" s="6"/>
    </row>
    <row r="37" spans="1:5">
      <c r="A37" s="37" t="s">
        <v>911</v>
      </c>
      <c r="B37" s="26" t="s">
        <v>912</v>
      </c>
      <c r="C37" s="25" t="s">
        <v>913</v>
      </c>
      <c r="D37" s="50">
        <v>34.987499999999997</v>
      </c>
      <c r="E37" s="6"/>
    </row>
    <row r="38" spans="1:5">
      <c r="A38" s="37" t="s">
        <v>666</v>
      </c>
      <c r="B38" s="26" t="s">
        <v>914</v>
      </c>
      <c r="C38" s="25" t="s">
        <v>915</v>
      </c>
      <c r="D38" s="50">
        <v>45.532499999999999</v>
      </c>
      <c r="E38" s="6"/>
    </row>
    <row r="39" spans="1:5">
      <c r="A39" s="37" t="s">
        <v>719</v>
      </c>
      <c r="B39" s="26" t="s">
        <v>916</v>
      </c>
      <c r="C39" s="25" t="s">
        <v>917</v>
      </c>
      <c r="D39" s="83">
        <v>416.92499999999995</v>
      </c>
      <c r="E39" s="6"/>
    </row>
    <row r="40" spans="1:5">
      <c r="A40" s="37" t="s">
        <v>674</v>
      </c>
      <c r="B40" s="26" t="s">
        <v>918</v>
      </c>
      <c r="C40" s="25" t="s">
        <v>919</v>
      </c>
      <c r="D40" s="83">
        <v>225.9375</v>
      </c>
      <c r="E40" s="6"/>
    </row>
    <row r="41" spans="1:5">
      <c r="A41" s="37" t="s">
        <v>31</v>
      </c>
      <c r="B41" s="26" t="s">
        <v>920</v>
      </c>
      <c r="C41" s="25" t="s">
        <v>921</v>
      </c>
      <c r="D41" s="83">
        <v>361.46999999999997</v>
      </c>
      <c r="E41" s="6"/>
    </row>
    <row r="42" spans="1:5">
      <c r="A42" s="37" t="s">
        <v>24</v>
      </c>
      <c r="B42" s="26" t="s">
        <v>922</v>
      </c>
      <c r="C42" s="25" t="s">
        <v>923</v>
      </c>
      <c r="D42" s="83">
        <v>180.01500000000001</v>
      </c>
      <c r="E42" s="6"/>
    </row>
    <row r="43" spans="1:5">
      <c r="A43" s="37" t="s">
        <v>33</v>
      </c>
      <c r="B43" s="26" t="s">
        <v>863</v>
      </c>
      <c r="C43" s="25" t="s">
        <v>924</v>
      </c>
      <c r="D43" s="83">
        <v>308.82</v>
      </c>
      <c r="E43" s="6"/>
    </row>
    <row r="44" spans="1:5">
      <c r="A44" s="37" t="s">
        <v>39</v>
      </c>
      <c r="B44" s="26" t="s">
        <v>925</v>
      </c>
      <c r="C44" s="25" t="s">
        <v>926</v>
      </c>
      <c r="D44" s="83">
        <v>439.43999999999994</v>
      </c>
      <c r="E44" s="6"/>
    </row>
    <row r="45" spans="1:5">
      <c r="A45" s="37" t="s">
        <v>44</v>
      </c>
      <c r="B45" s="26" t="s">
        <v>851</v>
      </c>
      <c r="C45" s="25" t="s">
        <v>927</v>
      </c>
      <c r="D45" s="83">
        <v>907.80750000000012</v>
      </c>
      <c r="E45" s="6"/>
    </row>
    <row r="46" spans="1:5">
      <c r="A46" s="37" t="s">
        <v>49</v>
      </c>
      <c r="B46" s="26" t="s">
        <v>868</v>
      </c>
      <c r="C46" s="25" t="s">
        <v>928</v>
      </c>
      <c r="D46" s="83">
        <v>693.21749999999997</v>
      </c>
      <c r="E46" s="6"/>
    </row>
    <row r="47" spans="1:5">
      <c r="A47" s="37" t="s">
        <v>37</v>
      </c>
      <c r="B47" s="26" t="s">
        <v>865</v>
      </c>
      <c r="C47" s="25" t="s">
        <v>866</v>
      </c>
      <c r="D47" s="83">
        <v>34.987499999999997</v>
      </c>
      <c r="E47" s="6"/>
    </row>
    <row r="48" spans="1:5" ht="13.5" thickBot="1">
      <c r="A48" s="51" t="s">
        <v>929</v>
      </c>
      <c r="B48" s="52" t="s">
        <v>930</v>
      </c>
      <c r="C48" s="53" t="s">
        <v>931</v>
      </c>
      <c r="D48" s="54">
        <v>835.27</v>
      </c>
      <c r="E48" s="6"/>
    </row>
    <row r="49" spans="1:5" ht="13.5" thickTop="1">
      <c r="A49" s="37" t="s">
        <v>22</v>
      </c>
      <c r="B49" s="48" t="s">
        <v>932</v>
      </c>
      <c r="C49" s="49" t="s">
        <v>933</v>
      </c>
      <c r="D49" s="46">
        <v>35.402252939916011</v>
      </c>
      <c r="E49" s="6"/>
    </row>
    <row r="50" spans="1:5">
      <c r="A50" s="37" t="s">
        <v>28</v>
      </c>
      <c r="B50" s="48" t="s">
        <v>934</v>
      </c>
      <c r="C50" s="49" t="s">
        <v>935</v>
      </c>
      <c r="D50" s="46">
        <v>123.90076030798227</v>
      </c>
      <c r="E50" s="6"/>
    </row>
    <row r="51" spans="1:5">
      <c r="A51" s="37" t="s">
        <v>35</v>
      </c>
      <c r="B51" s="48" t="s">
        <v>936</v>
      </c>
      <c r="C51" s="49" t="s">
        <v>937</v>
      </c>
      <c r="D51" s="46">
        <v>161.97310014887609</v>
      </c>
      <c r="E51" s="6"/>
    </row>
    <row r="52" spans="1:5">
      <c r="A52" s="37" t="s">
        <v>41</v>
      </c>
      <c r="B52" s="48" t="s">
        <v>938</v>
      </c>
      <c r="C52" s="49" t="s">
        <v>939</v>
      </c>
      <c r="D52" s="46">
        <v>162.83522293745065</v>
      </c>
      <c r="E52" s="6"/>
    </row>
    <row r="53" spans="1:5">
      <c r="A53" s="37" t="s">
        <v>46</v>
      </c>
      <c r="B53" s="48" t="s">
        <v>940</v>
      </c>
      <c r="C53" s="49" t="s">
        <v>941</v>
      </c>
      <c r="D53" s="46">
        <v>237.18351660213608</v>
      </c>
      <c r="E53" s="6"/>
    </row>
    <row r="54" spans="1:5">
      <c r="A54" s="37" t="s">
        <v>208</v>
      </c>
      <c r="B54" s="48" t="s">
        <v>942</v>
      </c>
      <c r="C54" s="49" t="s">
        <v>943</v>
      </c>
      <c r="D54" s="46">
        <v>30</v>
      </c>
      <c r="E54" s="6"/>
    </row>
    <row r="55" spans="1:5">
      <c r="A55" s="37" t="s">
        <v>51</v>
      </c>
      <c r="B55" s="48" t="s">
        <v>944</v>
      </c>
      <c r="C55" s="49" t="s">
        <v>945</v>
      </c>
      <c r="D55" s="46">
        <v>160</v>
      </c>
      <c r="E55" s="6"/>
    </row>
    <row r="56" spans="1:5">
      <c r="A56" s="37" t="s">
        <v>161</v>
      </c>
      <c r="B56" s="48" t="s">
        <v>946</v>
      </c>
      <c r="C56" s="49" t="s">
        <v>947</v>
      </c>
      <c r="D56" s="46">
        <v>40</v>
      </c>
      <c r="E56" s="6"/>
    </row>
    <row r="57" spans="1:5">
      <c r="A57" s="37" t="s">
        <v>199</v>
      </c>
      <c r="B57" s="48" t="s">
        <v>948</v>
      </c>
      <c r="C57" s="49" t="s">
        <v>949</v>
      </c>
      <c r="D57" s="46">
        <v>40</v>
      </c>
      <c r="E57" s="6"/>
    </row>
    <row r="58" spans="1:5">
      <c r="A58" s="37" t="s">
        <v>204</v>
      </c>
      <c r="B58" s="48" t="s">
        <v>950</v>
      </c>
      <c r="C58" s="49" t="s">
        <v>951</v>
      </c>
      <c r="D58" s="46">
        <v>40</v>
      </c>
      <c r="E58" s="6"/>
    </row>
    <row r="59" spans="1:5">
      <c r="A59" s="37" t="s">
        <v>61</v>
      </c>
      <c r="B59" s="48" t="s">
        <v>952</v>
      </c>
      <c r="C59" s="49" t="s">
        <v>953</v>
      </c>
      <c r="D59" s="46">
        <v>40</v>
      </c>
      <c r="E59" s="6"/>
    </row>
    <row r="60" spans="1:5">
      <c r="A60" s="37" t="s">
        <v>77</v>
      </c>
      <c r="B60" s="48" t="s">
        <v>954</v>
      </c>
      <c r="C60" s="49" t="s">
        <v>955</v>
      </c>
      <c r="D60" s="46">
        <v>40</v>
      </c>
      <c r="E60" s="6"/>
    </row>
    <row r="61" spans="1:5" ht="14.25" customHeight="1">
      <c r="A61" s="37" t="s">
        <v>65</v>
      </c>
      <c r="B61" s="48" t="s">
        <v>956</v>
      </c>
      <c r="C61" s="49" t="s">
        <v>957</v>
      </c>
      <c r="D61" s="46">
        <v>64.403155112394401</v>
      </c>
    </row>
    <row r="62" spans="1:5" ht="14.25" customHeight="1">
      <c r="A62" s="37" t="s">
        <v>56</v>
      </c>
      <c r="B62" s="48" t="s">
        <v>958</v>
      </c>
      <c r="C62" s="49" t="s">
        <v>959</v>
      </c>
      <c r="D62" s="46">
        <v>125</v>
      </c>
    </row>
    <row r="63" spans="1:5">
      <c r="A63" s="37" t="s">
        <v>69</v>
      </c>
      <c r="B63" s="48" t="s">
        <v>960</v>
      </c>
      <c r="C63" s="49" t="s">
        <v>961</v>
      </c>
      <c r="D63" s="46">
        <v>40</v>
      </c>
      <c r="E63" s="6"/>
    </row>
    <row r="64" spans="1:5">
      <c r="A64" s="37" t="s">
        <v>73</v>
      </c>
      <c r="B64" s="48" t="s">
        <v>962</v>
      </c>
      <c r="C64" s="49" t="s">
        <v>963</v>
      </c>
      <c r="D64" s="46">
        <f>298.061735443821*0.5</f>
        <v>149.03086772191051</v>
      </c>
      <c r="E64" s="6"/>
    </row>
    <row r="65" spans="1:6" ht="13.5" thickBot="1">
      <c r="A65" s="37" t="s">
        <v>497</v>
      </c>
      <c r="B65" s="56" t="s">
        <v>964</v>
      </c>
      <c r="C65" s="57" t="s">
        <v>965</v>
      </c>
      <c r="D65" s="46">
        <v>97.52318734391956</v>
      </c>
      <c r="E65" s="6"/>
    </row>
    <row r="66" spans="1:6" ht="14.25" thickTop="1" thickBot="1">
      <c r="A66" s="37" t="s">
        <v>760</v>
      </c>
      <c r="B66" s="56" t="s">
        <v>966</v>
      </c>
      <c r="C66" s="57" t="s">
        <v>967</v>
      </c>
      <c r="D66" s="33">
        <v>3</v>
      </c>
      <c r="E66" s="6"/>
    </row>
    <row r="67" spans="1:6" ht="15" customHeight="1" thickTop="1">
      <c r="A67" s="37" t="s">
        <v>81</v>
      </c>
      <c r="B67" s="58" t="s">
        <v>79</v>
      </c>
      <c r="C67" s="59" t="s">
        <v>968</v>
      </c>
      <c r="D67" s="50">
        <v>40</v>
      </c>
      <c r="E67" s="72"/>
    </row>
    <row r="68" spans="1:6" ht="21" customHeight="1">
      <c r="A68" s="37" t="s">
        <v>80</v>
      </c>
      <c r="B68" s="60" t="s">
        <v>969</v>
      </c>
      <c r="C68" s="61" t="s">
        <v>970</v>
      </c>
      <c r="D68" s="46">
        <v>300</v>
      </c>
      <c r="E68" s="72"/>
    </row>
    <row r="69" spans="1:6" ht="15" customHeight="1">
      <c r="A69" s="37" t="s">
        <v>86</v>
      </c>
      <c r="B69" s="60" t="s">
        <v>971</v>
      </c>
      <c r="C69" s="61" t="s">
        <v>972</v>
      </c>
      <c r="D69" s="46">
        <v>60</v>
      </c>
      <c r="E69" s="72"/>
    </row>
    <row r="70" spans="1:6" ht="15" customHeight="1">
      <c r="A70" s="37" t="s">
        <v>89</v>
      </c>
      <c r="B70" s="60" t="s">
        <v>973</v>
      </c>
      <c r="C70" s="61" t="s">
        <v>974</v>
      </c>
      <c r="D70" s="46">
        <v>407.75660964439658</v>
      </c>
      <c r="E70" s="72"/>
    </row>
    <row r="71" spans="1:6" ht="15" customHeight="1">
      <c r="A71" s="37" t="s">
        <v>92</v>
      </c>
      <c r="B71" s="60" t="s">
        <v>91</v>
      </c>
      <c r="C71" s="61" t="s">
        <v>975</v>
      </c>
      <c r="D71" s="46">
        <v>340</v>
      </c>
      <c r="E71" s="72"/>
    </row>
    <row r="72" spans="1:6" ht="15" customHeight="1">
      <c r="A72" s="37" t="s">
        <v>95</v>
      </c>
      <c r="B72" s="60" t="s">
        <v>976</v>
      </c>
      <c r="C72" s="61" t="s">
        <v>977</v>
      </c>
      <c r="D72" s="46">
        <v>851.7</v>
      </c>
      <c r="E72" s="72"/>
    </row>
    <row r="73" spans="1:6" ht="15" customHeight="1" thickBot="1">
      <c r="A73" s="37" t="s">
        <v>98</v>
      </c>
      <c r="B73" s="62" t="s">
        <v>978</v>
      </c>
      <c r="C73" s="63" t="s">
        <v>979</v>
      </c>
      <c r="D73" s="47">
        <v>60</v>
      </c>
      <c r="E73" s="72"/>
    </row>
    <row r="74" spans="1:6" ht="15" customHeight="1">
      <c r="A74" s="37" t="s">
        <v>688</v>
      </c>
      <c r="B74" s="58" t="s">
        <v>980</v>
      </c>
      <c r="C74" s="59" t="s">
        <v>968</v>
      </c>
      <c r="D74" s="50">
        <v>300</v>
      </c>
      <c r="E74" s="72"/>
    </row>
    <row r="75" spans="1:6" ht="15" customHeight="1">
      <c r="A75" s="37" t="s">
        <v>690</v>
      </c>
      <c r="B75" s="60" t="s">
        <v>969</v>
      </c>
      <c r="C75" s="61" t="s">
        <v>970</v>
      </c>
      <c r="D75" s="46">
        <v>1000</v>
      </c>
      <c r="E75" s="72"/>
    </row>
    <row r="76" spans="1:6" ht="15" customHeight="1">
      <c r="A76" s="37" t="s">
        <v>692</v>
      </c>
      <c r="B76" s="60" t="s">
        <v>981</v>
      </c>
      <c r="C76" s="61" t="s">
        <v>982</v>
      </c>
      <c r="D76" s="46">
        <f>E76*F76</f>
        <v>3200</v>
      </c>
      <c r="E76">
        <v>200</v>
      </c>
      <c r="F76">
        <v>16</v>
      </c>
    </row>
    <row r="77" spans="1:6" ht="15" customHeight="1">
      <c r="A77" s="37" t="s">
        <v>702</v>
      </c>
      <c r="B77" s="60" t="s">
        <v>983</v>
      </c>
      <c r="C77" s="61" t="s">
        <v>984</v>
      </c>
      <c r="D77" s="46">
        <f>E77*F77</f>
        <v>300</v>
      </c>
      <c r="E77">
        <v>100</v>
      </c>
      <c r="F77">
        <v>3</v>
      </c>
    </row>
    <row r="78" spans="1:6" ht="15" customHeight="1">
      <c r="A78" s="37" t="s">
        <v>704</v>
      </c>
      <c r="B78" s="60" t="s">
        <v>985</v>
      </c>
      <c r="C78" s="61" t="s">
        <v>986</v>
      </c>
      <c r="D78" s="46">
        <f>E78*F78</f>
        <v>400</v>
      </c>
      <c r="E78">
        <v>100</v>
      </c>
      <c r="F78">
        <v>4</v>
      </c>
    </row>
    <row r="79" spans="1:6" ht="15" customHeight="1">
      <c r="A79" s="37" t="s">
        <v>228</v>
      </c>
      <c r="B79" s="60" t="s">
        <v>987</v>
      </c>
      <c r="C79" s="61" t="s">
        <v>988</v>
      </c>
      <c r="D79" s="46">
        <v>50</v>
      </c>
    </row>
    <row r="80" spans="1:6" ht="15" customHeight="1">
      <c r="A80" s="37" t="s">
        <v>707</v>
      </c>
      <c r="B80" s="60" t="s">
        <v>976</v>
      </c>
      <c r="C80" s="61" t="s">
        <v>989</v>
      </c>
      <c r="D80" s="46">
        <f>E80*F80</f>
        <v>1920</v>
      </c>
      <c r="E80">
        <v>120</v>
      </c>
      <c r="F80">
        <v>16</v>
      </c>
    </row>
    <row r="81" spans="1:6" ht="15" customHeight="1">
      <c r="A81" s="37" t="s">
        <v>735</v>
      </c>
      <c r="B81" s="60" t="s">
        <v>990</v>
      </c>
      <c r="C81" s="61" t="s">
        <v>974</v>
      </c>
      <c r="D81" s="46">
        <v>1000</v>
      </c>
    </row>
    <row r="82" spans="1:6" ht="15" customHeight="1">
      <c r="A82" s="37" t="s">
        <v>738</v>
      </c>
      <c r="B82" s="60" t="s">
        <v>991</v>
      </c>
      <c r="C82" s="61" t="s">
        <v>992</v>
      </c>
      <c r="D82" s="46">
        <v>400</v>
      </c>
      <c r="E82">
        <v>120</v>
      </c>
      <c r="F82">
        <v>16</v>
      </c>
    </row>
    <row r="83" spans="1:6" ht="15" customHeight="1" thickBot="1">
      <c r="A83" s="37" t="s">
        <v>740</v>
      </c>
      <c r="B83" s="62" t="s">
        <v>993</v>
      </c>
      <c r="C83" s="63" t="s">
        <v>994</v>
      </c>
      <c r="D83" s="47">
        <v>400</v>
      </c>
      <c r="E83" s="72"/>
    </row>
    <row r="84" spans="1:6" ht="22.5">
      <c r="A84" s="77" t="s">
        <v>776</v>
      </c>
      <c r="B84" s="78" t="s">
        <v>995</v>
      </c>
      <c r="C84" s="79" t="s">
        <v>996</v>
      </c>
      <c r="D84" s="80">
        <f>(990+5350*(13/28))*1.15</f>
        <v>3995.0178571428569</v>
      </c>
      <c r="E84" s="72"/>
    </row>
    <row r="85" spans="1:6">
      <c r="A85" s="37" t="s">
        <v>779</v>
      </c>
      <c r="B85" s="65" t="s">
        <v>997</v>
      </c>
      <c r="C85" s="66" t="s">
        <v>998</v>
      </c>
      <c r="D85" s="46">
        <f>E85*F85+100</f>
        <v>1020</v>
      </c>
      <c r="E85">
        <v>57.5</v>
      </c>
      <c r="F85">
        <v>16</v>
      </c>
    </row>
    <row r="86" spans="1:6">
      <c r="A86" s="37" t="s">
        <v>782</v>
      </c>
      <c r="B86" s="65" t="s">
        <v>999</v>
      </c>
      <c r="C86" s="66" t="s">
        <v>1000</v>
      </c>
      <c r="D86" s="46">
        <f>E86*F86+90</f>
        <v>205</v>
      </c>
      <c r="E86">
        <v>57.5</v>
      </c>
      <c r="F86">
        <v>2</v>
      </c>
    </row>
    <row r="87" spans="1:6">
      <c r="A87" s="37" t="s">
        <v>785</v>
      </c>
      <c r="B87" s="65" t="s">
        <v>1001</v>
      </c>
      <c r="C87" s="66" t="s">
        <v>1002</v>
      </c>
      <c r="D87" s="46">
        <f>E87*F87+90</f>
        <v>262.5</v>
      </c>
      <c r="E87">
        <v>57.5</v>
      </c>
      <c r="F87">
        <v>3</v>
      </c>
    </row>
    <row r="88" spans="1:6" ht="13.5" thickBot="1">
      <c r="A88" s="37" t="s">
        <v>786</v>
      </c>
      <c r="B88" s="93" t="s">
        <v>1003</v>
      </c>
      <c r="C88" s="94" t="s">
        <v>1004</v>
      </c>
      <c r="D88" s="95">
        <f>E88*F88+90</f>
        <v>320</v>
      </c>
      <c r="E88">
        <v>57.5</v>
      </c>
      <c r="F88">
        <v>4</v>
      </c>
    </row>
    <row r="89" spans="1:6" ht="13.5" thickTop="1">
      <c r="A89" s="37" t="s">
        <v>745</v>
      </c>
      <c r="B89" s="96" t="s">
        <v>1005</v>
      </c>
      <c r="C89" s="97" t="s">
        <v>1006</v>
      </c>
      <c r="D89" s="50">
        <f>E89</f>
        <v>2433.3333333333335</v>
      </c>
      <c r="E89">
        <f>2190/0.9</f>
        <v>2433.3333333333335</v>
      </c>
    </row>
    <row r="90" spans="1:6" s="21" customFormat="1" ht="22.5">
      <c r="A90" s="77" t="s">
        <v>748</v>
      </c>
      <c r="B90" s="104" t="s">
        <v>1007</v>
      </c>
      <c r="C90" s="98" t="s">
        <v>1008</v>
      </c>
      <c r="D90" s="99">
        <f t="shared" ref="D90:D91" si="0">E90</f>
        <v>200</v>
      </c>
      <c r="E90" s="21">
        <f>360/(2*0.9)</f>
        <v>200</v>
      </c>
    </row>
    <row r="91" spans="1:6" ht="23.25" thickBot="1">
      <c r="A91" s="37" t="s">
        <v>751</v>
      </c>
      <c r="B91" s="105" t="s">
        <v>1009</v>
      </c>
      <c r="C91" s="106" t="s">
        <v>1010</v>
      </c>
      <c r="D91" s="95">
        <f t="shared" si="0"/>
        <v>966.66666666666663</v>
      </c>
      <c r="E91">
        <f>1740/(2*0.9)</f>
        <v>966.66666666666663</v>
      </c>
    </row>
    <row r="92" spans="1:6" ht="13.5" thickTop="1">
      <c r="A92" s="37" t="s">
        <v>793</v>
      </c>
      <c r="B92" s="100" t="s">
        <v>1011</v>
      </c>
      <c r="C92" s="101" t="s">
        <v>1012</v>
      </c>
      <c r="D92" s="50">
        <f>E92</f>
        <v>1782.4999999999998</v>
      </c>
      <c r="E92">
        <f>1550*1.15</f>
        <v>1782.4999999999998</v>
      </c>
    </row>
    <row r="93" spans="1:6" s="21" customFormat="1">
      <c r="A93" s="37" t="s">
        <v>802</v>
      </c>
      <c r="B93" s="102" t="s">
        <v>1013</v>
      </c>
      <c r="C93" s="103" t="s">
        <v>1014</v>
      </c>
      <c r="D93" s="99">
        <f t="shared" ref="D93:D94" si="1">E93</f>
        <v>2971.6</v>
      </c>
      <c r="E93" s="21">
        <f>2584*1.15</f>
        <v>2971.6</v>
      </c>
    </row>
    <row r="94" spans="1:6" ht="22.5">
      <c r="A94" s="37" t="s">
        <v>796</v>
      </c>
      <c r="B94" s="100" t="s">
        <v>1015</v>
      </c>
      <c r="C94" s="101" t="s">
        <v>1016</v>
      </c>
      <c r="D94" s="50">
        <f t="shared" si="1"/>
        <v>1800</v>
      </c>
      <c r="E94">
        <f>30*60</f>
        <v>1800</v>
      </c>
    </row>
    <row r="95" spans="1:6">
      <c r="A95" s="37" t="s">
        <v>798</v>
      </c>
      <c r="B95" s="100" t="s">
        <v>1017</v>
      </c>
      <c r="C95" s="101" t="s">
        <v>1018</v>
      </c>
      <c r="D95" s="50">
        <f t="shared" ref="D95" si="2">E95</f>
        <v>3000</v>
      </c>
      <c r="E95">
        <f>50*60</f>
        <v>3000</v>
      </c>
    </row>
    <row r="96" spans="1:6">
      <c r="A96" s="37" t="s">
        <v>818</v>
      </c>
      <c r="B96" s="100" t="s">
        <v>1019</v>
      </c>
      <c r="C96" s="101" t="s">
        <v>1020</v>
      </c>
      <c r="D96" s="50">
        <f t="shared" ref="D96" si="3">E96</f>
        <v>1073.8823529411764</v>
      </c>
      <c r="E96">
        <f>(621+2*145.9)/0.85</f>
        <v>1073.8823529411764</v>
      </c>
    </row>
    <row r="97" spans="1:5">
      <c r="A97" s="37" t="s">
        <v>804</v>
      </c>
      <c r="B97" s="100" t="s">
        <v>1021</v>
      </c>
      <c r="C97" s="101" t="s">
        <v>1022</v>
      </c>
      <c r="D97" s="50">
        <f t="shared" ref="D97:D98" si="4">E97</f>
        <v>90</v>
      </c>
      <c r="E97">
        <f>1.5*60</f>
        <v>90</v>
      </c>
    </row>
    <row r="98" spans="1:5" s="21" customFormat="1" ht="22.5">
      <c r="A98" s="77" t="s">
        <v>806</v>
      </c>
      <c r="B98" s="102" t="s">
        <v>1023</v>
      </c>
      <c r="C98" s="103" t="s">
        <v>1024</v>
      </c>
      <c r="D98" s="99">
        <f t="shared" si="4"/>
        <v>120</v>
      </c>
      <c r="E98" s="21">
        <f>2*60</f>
        <v>120</v>
      </c>
    </row>
    <row r="99" spans="1:5" ht="22.5">
      <c r="A99" s="77" t="s">
        <v>808</v>
      </c>
      <c r="B99" s="102" t="s">
        <v>1025</v>
      </c>
      <c r="C99" s="103" t="s">
        <v>1026</v>
      </c>
      <c r="D99" s="99">
        <f t="shared" ref="D99:D101" si="5">E99</f>
        <v>300</v>
      </c>
      <c r="E99" s="21">
        <f>5*60</f>
        <v>300</v>
      </c>
    </row>
    <row r="100" spans="1:5" ht="22.5">
      <c r="A100" s="37" t="s">
        <v>820</v>
      </c>
      <c r="B100" s="100" t="s">
        <v>1027</v>
      </c>
      <c r="C100" s="101" t="s">
        <v>1028</v>
      </c>
      <c r="D100" s="50">
        <f t="shared" si="5"/>
        <v>1920</v>
      </c>
      <c r="E100">
        <f>32*60</f>
        <v>1920</v>
      </c>
    </row>
    <row r="101" spans="1:5" ht="22.5">
      <c r="A101" s="77" t="s">
        <v>822</v>
      </c>
      <c r="B101" s="102" t="s">
        <v>1025</v>
      </c>
      <c r="C101" s="103" t="s">
        <v>1029</v>
      </c>
      <c r="D101" s="99">
        <f t="shared" ref="D101:D102" si="6">E101</f>
        <v>720</v>
      </c>
      <c r="E101" s="21">
        <f>12*60</f>
        <v>720</v>
      </c>
    </row>
    <row r="102" spans="1:5" ht="22.5">
      <c r="A102" s="77" t="s">
        <v>823</v>
      </c>
      <c r="B102" s="102" t="s">
        <v>1030</v>
      </c>
      <c r="C102" s="103" t="s">
        <v>1031</v>
      </c>
      <c r="D102" s="99">
        <f t="shared" si="6"/>
        <v>180</v>
      </c>
      <c r="E102" s="21">
        <f>3*60</f>
        <v>180</v>
      </c>
    </row>
  </sheetData>
  <mergeCells count="1">
    <mergeCell ref="B1:D1"/>
  </mergeCells>
  <phoneticPr fontId="0" type="noConversion"/>
  <pageMargins left="0.75" right="0.75" top="1" bottom="1" header="0" footer="0"/>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86331cc-1490-4789-9f03-83f5f25009f1">
      <Terms xmlns="http://schemas.microsoft.com/office/infopath/2007/PartnerControls"/>
    </lcf76f155ced4ddcb4097134ff3c332f>
    <TaxCatchAll xmlns="19d96bb0-e5e5-47ce-8639-aada562f5ab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969C890E267A6D419A00B3F95D5B06F1" ma:contentTypeVersion="18" ma:contentTypeDescription="Crear nuevo documento." ma:contentTypeScope="" ma:versionID="a23a5d25e2285f15849b6b92929300d8">
  <xsd:schema xmlns:xsd="http://www.w3.org/2001/XMLSchema" xmlns:xs="http://www.w3.org/2001/XMLSchema" xmlns:p="http://schemas.microsoft.com/office/2006/metadata/properties" xmlns:ns2="f86331cc-1490-4789-9f03-83f5f25009f1" xmlns:ns3="19d96bb0-e5e5-47ce-8639-aada562f5ab7" targetNamespace="http://schemas.microsoft.com/office/2006/metadata/properties" ma:root="true" ma:fieldsID="438ac357f75abcd341fb9cc9b5f102fb" ns2:_="" ns3:_="">
    <xsd:import namespace="f86331cc-1490-4789-9f03-83f5f25009f1"/>
    <xsd:import namespace="19d96bb0-e5e5-47ce-8639-aada562f5ab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6331cc-1490-4789-9f03-83f5f25009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73a83468-cc2a-484b-adf2-69a1f8228d7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9d96bb0-e5e5-47ce-8639-aada562f5ab7" elementFormDefault="qualified">
    <xsd:import namespace="http://schemas.microsoft.com/office/2006/documentManagement/types"/>
    <xsd:import namespace="http://schemas.microsoft.com/office/infopath/2007/PartnerControls"/>
    <xsd:element name="SharedWithUsers" ma:index="17"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b4f6fec9-fe11-4f04-b6ef-09b1eb7c96a1}" ma:internalName="TaxCatchAll" ma:showField="CatchAllData" ma:web="19d96bb0-e5e5-47ce-8639-aada562f5ab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D34813B-3DE9-4CBF-B68A-05A6E25B0EB0}"/>
</file>

<file path=customXml/itemProps2.xml><?xml version="1.0" encoding="utf-8"?>
<ds:datastoreItem xmlns:ds="http://schemas.openxmlformats.org/officeDocument/2006/customXml" ds:itemID="{8826A3EC-5772-4CC6-B432-88B07C86F1CD}"/>
</file>

<file path=customXml/itemProps3.xml><?xml version="1.0" encoding="utf-8"?>
<ds:datastoreItem xmlns:ds="http://schemas.openxmlformats.org/officeDocument/2006/customXml" ds:itemID="{1F229BEB-FD43-4456-A3EC-B403FA2B84C5}"/>
</file>

<file path=docProps/app.xml><?xml version="1.0" encoding="utf-8"?>
<Properties xmlns="http://schemas.openxmlformats.org/officeDocument/2006/extended-properties" xmlns:vt="http://schemas.openxmlformats.org/officeDocument/2006/docPropsVTypes">
  <Application>Microsoft Excel Online</Application>
  <Manager/>
  <Company>COBRA</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IÑAKI LOZANO</dc:creator>
  <cp:keywords/>
  <dc:description/>
  <cp:lastModifiedBy>Asier Perez</cp:lastModifiedBy>
  <cp:revision/>
  <dcterms:created xsi:type="dcterms:W3CDTF">2006-02-14T11:05:12Z</dcterms:created>
  <dcterms:modified xsi:type="dcterms:W3CDTF">2024-05-28T05:20:48Z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0x010100969C890E267A6D419A00B3F95D5B06F1</vt:lpwstr>
  </property>
  <property fmtid="{D5CDD505-2E9C-101B-9397-08002B2CF9AE}" pid="3" name="MediaServiceImageTags">
    <vt:lpwstr/>
  </property>
</Properties>
</file>